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ccounting\VP-Finance\Fay Harder\Colders\Working Capital Calculations\Final WC Calculation\"/>
    </mc:Choice>
  </mc:AlternateContent>
  <xr:revisionPtr revIDLastSave="0" documentId="13_ncr:1_{FB385903-C48F-4681-8D31-07F72445A529}" xr6:coauthVersionLast="47" xr6:coauthVersionMax="47" xr10:uidLastSave="{00000000-0000-0000-0000-000000000000}"/>
  <bookViews>
    <workbookView xWindow="-120" yWindow="-120" windowWidth="29040" windowHeight="15840" xr2:uid="{BB9653B8-A90B-48B1-B076-0C6DF65AE513}"/>
  </bookViews>
  <sheets>
    <sheet name="Sheet2" sheetId="1" r:id="rId1"/>
  </sheets>
  <definedNames>
    <definedName name="_xlnm.Print_Titles" localSheetId="0">Sheet2!$2:$2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5" i="1" l="1"/>
  <c r="I92" i="1"/>
  <c r="I56" i="1" l="1"/>
  <c r="H295" i="1"/>
  <c r="H294" i="1"/>
  <c r="H293" i="1"/>
  <c r="I55" i="1"/>
  <c r="N93" i="1"/>
  <c r="J293" i="1"/>
  <c r="K293" i="1"/>
  <c r="L293" i="1"/>
  <c r="M293" i="1"/>
  <c r="K104" i="1"/>
  <c r="J104" i="1"/>
  <c r="K108" i="1"/>
  <c r="J108" i="1"/>
  <c r="I108" i="1"/>
  <c r="K254" i="1"/>
  <c r="K253" i="1"/>
  <c r="K226" i="1"/>
  <c r="N226" i="1" s="1"/>
  <c r="K225" i="1"/>
  <c r="N225" i="1" s="1"/>
  <c r="K224" i="1"/>
  <c r="N224" i="1" s="1"/>
  <c r="K223" i="1"/>
  <c r="N223" i="1" s="1"/>
  <c r="K222" i="1"/>
  <c r="N222" i="1" s="1"/>
  <c r="K221" i="1"/>
  <c r="N221" i="1" s="1"/>
  <c r="K220" i="1"/>
  <c r="N220" i="1" s="1"/>
  <c r="K219" i="1"/>
  <c r="N219" i="1" s="1"/>
  <c r="K218" i="1"/>
  <c r="N218" i="1" s="1"/>
  <c r="K217" i="1"/>
  <c r="N217" i="1" s="1"/>
  <c r="J211" i="1"/>
  <c r="J209" i="1"/>
  <c r="J208" i="1"/>
  <c r="J206" i="1"/>
  <c r="J203" i="1"/>
  <c r="L197" i="1"/>
  <c r="L195" i="1"/>
  <c r="K132" i="1"/>
  <c r="J126" i="1"/>
  <c r="J125" i="1"/>
  <c r="J124" i="1"/>
  <c r="J123" i="1"/>
  <c r="J119" i="1"/>
  <c r="J92" i="1" l="1"/>
  <c r="N92" i="1" s="1"/>
  <c r="J91" i="1"/>
  <c r="N91" i="1" s="1"/>
  <c r="J90" i="1"/>
  <c r="N90" i="1" s="1"/>
  <c r="L89" i="1"/>
  <c r="J89" i="1"/>
  <c r="J88" i="1"/>
  <c r="N88" i="1" s="1"/>
  <c r="J87" i="1"/>
  <c r="N87" i="1" s="1"/>
  <c r="J86" i="1"/>
  <c r="N86" i="1" s="1"/>
  <c r="J85" i="1"/>
  <c r="N85" i="1" s="1"/>
  <c r="J84" i="1"/>
  <c r="N84" i="1" s="1"/>
  <c r="J83" i="1"/>
  <c r="N83" i="1" s="1"/>
  <c r="J82" i="1"/>
  <c r="N82" i="1" s="1"/>
  <c r="J81" i="1"/>
  <c r="N81" i="1" s="1"/>
  <c r="J80" i="1"/>
  <c r="N80" i="1" s="1"/>
  <c r="J79" i="1"/>
  <c r="N79" i="1" s="1"/>
  <c r="J78" i="1"/>
  <c r="N78" i="1" s="1"/>
  <c r="J77" i="1"/>
  <c r="N77" i="1" s="1"/>
  <c r="J76" i="1"/>
  <c r="N76" i="1" s="1"/>
  <c r="J75" i="1"/>
  <c r="N75" i="1" s="1"/>
  <c r="J74" i="1"/>
  <c r="N74" i="1" s="1"/>
  <c r="J73" i="1"/>
  <c r="N73" i="1" s="1"/>
  <c r="J72" i="1"/>
  <c r="N72" i="1" s="1"/>
  <c r="J71" i="1"/>
  <c r="N71" i="1" s="1"/>
  <c r="J70" i="1"/>
  <c r="N70" i="1" s="1"/>
  <c r="J69" i="1"/>
  <c r="J68" i="1"/>
  <c r="N68" i="1" s="1"/>
  <c r="J67" i="1"/>
  <c r="N67" i="1" s="1"/>
  <c r="J66" i="1"/>
  <c r="N66" i="1" s="1"/>
  <c r="J65" i="1"/>
  <c r="N65" i="1" s="1"/>
  <c r="J64" i="1"/>
  <c r="N64" i="1" s="1"/>
  <c r="J63" i="1"/>
  <c r="N63" i="1" s="1"/>
  <c r="J62" i="1"/>
  <c r="N62" i="1" s="1"/>
  <c r="J61" i="1"/>
  <c r="N61" i="1" s="1"/>
  <c r="J60" i="1"/>
  <c r="N60" i="1" s="1"/>
  <c r="J59" i="1"/>
  <c r="N59" i="1" s="1"/>
  <c r="J58" i="1"/>
  <c r="N58" i="1" s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7" i="1"/>
  <c r="N69" i="1"/>
  <c r="N94" i="1"/>
  <c r="N95" i="1"/>
  <c r="N96" i="1"/>
  <c r="N97" i="1"/>
  <c r="N98" i="1"/>
  <c r="N99" i="1"/>
  <c r="N100" i="1"/>
  <c r="N101" i="1"/>
  <c r="N102" i="1"/>
  <c r="N103" i="1"/>
  <c r="N105" i="1"/>
  <c r="N104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8" i="1"/>
  <c r="N279" i="1"/>
  <c r="N280" i="1"/>
  <c r="N281" i="1"/>
  <c r="N282" i="1"/>
  <c r="N283" i="1"/>
  <c r="N284" i="1"/>
  <c r="N285" i="1"/>
  <c r="N286" i="1"/>
  <c r="N287" i="1"/>
  <c r="N275" i="1"/>
  <c r="N276" i="1"/>
  <c r="N277" i="1"/>
  <c r="N288" i="1"/>
  <c r="N289" i="1"/>
  <c r="N290" i="1"/>
  <c r="N291" i="1"/>
  <c r="K56" i="1"/>
  <c r="N56" i="1" s="1"/>
  <c r="N293" i="1" l="1"/>
  <c r="N296" i="1" s="1"/>
  <c r="N89" i="1"/>
  <c r="I291" i="1"/>
  <c r="I290" i="1"/>
  <c r="I289" i="1"/>
  <c r="I277" i="1"/>
  <c r="I287" i="1"/>
  <c r="I278" i="1"/>
  <c r="I274" i="1"/>
  <c r="I257" i="1"/>
  <c r="I256" i="1"/>
  <c r="I254" i="1"/>
  <c r="I252" i="1"/>
  <c r="I245" i="1"/>
  <c r="I226" i="1"/>
  <c r="I216" i="1"/>
  <c r="I215" i="1"/>
  <c r="I213" i="1"/>
  <c r="I212" i="1"/>
  <c r="I199" i="1"/>
  <c r="I193" i="1"/>
  <c r="I189" i="1"/>
  <c r="I188" i="1"/>
  <c r="I186" i="1"/>
  <c r="I176" i="1"/>
  <c r="I165" i="1"/>
  <c r="I164" i="1"/>
  <c r="I139" i="1"/>
  <c r="I134" i="1"/>
  <c r="I130" i="1"/>
  <c r="I126" i="1"/>
  <c r="I122" i="1"/>
  <c r="I117" i="1"/>
  <c r="I109" i="1"/>
  <c r="I103" i="1"/>
  <c r="I98" i="1"/>
  <c r="I97" i="1"/>
  <c r="I26" i="1"/>
  <c r="I16" i="1"/>
  <c r="I13" i="1"/>
  <c r="I3" i="1"/>
  <c r="I29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Fay Harder</author>
  </authors>
  <commentList>
    <comment ref="A17" authorId="0" shapeId="0" xr:uid="{DAB63721-43F9-4B4D-8640-A07443E9D7AC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Under Amish Essentials in Colders system?
</t>
        </r>
      </text>
    </comment>
  </commentList>
</comments>
</file>

<file path=xl/sharedStrings.xml><?xml version="1.0" encoding="utf-8"?>
<sst xmlns="http://schemas.openxmlformats.org/spreadsheetml/2006/main" count="1284" uniqueCount="667">
  <si>
    <t>VND#</t>
  </si>
  <si>
    <t>INV#</t>
  </si>
  <si>
    <t>INV DATE</t>
  </si>
  <si>
    <t>DUE DATE</t>
  </si>
  <si>
    <t>ADESSO</t>
  </si>
  <si>
    <t>002800</t>
  </si>
  <si>
    <t>2942096-CM</t>
  </si>
  <si>
    <t>ADVENTURE</t>
  </si>
  <si>
    <t>021801</t>
  </si>
  <si>
    <t>I521056</t>
  </si>
  <si>
    <t>I521058</t>
  </si>
  <si>
    <t>I521191</t>
  </si>
  <si>
    <t>I521190</t>
  </si>
  <si>
    <t>I521257</t>
  </si>
  <si>
    <t>I521255</t>
  </si>
  <si>
    <t>I521256</t>
  </si>
  <si>
    <t>I521306</t>
  </si>
  <si>
    <t>I521311</t>
  </si>
  <si>
    <t>I521313</t>
  </si>
  <si>
    <t>AMERICAN DREW</t>
  </si>
  <si>
    <t>020800</t>
  </si>
  <si>
    <t>9658329</t>
  </si>
  <si>
    <t>9658328</t>
  </si>
  <si>
    <t>9658327</t>
  </si>
  <si>
    <t>022000</t>
  </si>
  <si>
    <t>298482</t>
  </si>
  <si>
    <t>298468</t>
  </si>
  <si>
    <t>298464</t>
  </si>
  <si>
    <t>298463</t>
  </si>
  <si>
    <t>298462</t>
  </si>
  <si>
    <t>298461</t>
  </si>
  <si>
    <t>298460</t>
  </si>
  <si>
    <t>298459</t>
  </si>
  <si>
    <t>299348</t>
  </si>
  <si>
    <t>299349</t>
  </si>
  <si>
    <t>ARCHBOLD</t>
  </si>
  <si>
    <t>099200</t>
  </si>
  <si>
    <t>298483</t>
  </si>
  <si>
    <t>298474</t>
  </si>
  <si>
    <t>298475</t>
  </si>
  <si>
    <t>298476</t>
  </si>
  <si>
    <t>298477</t>
  </si>
  <si>
    <t>298478</t>
  </si>
  <si>
    <t>298479</t>
  </si>
  <si>
    <t>298480</t>
  </si>
  <si>
    <t>298481</t>
  </si>
  <si>
    <t>298470</t>
  </si>
  <si>
    <t>298471</t>
  </si>
  <si>
    <t>298472</t>
  </si>
  <si>
    <t>298473</t>
  </si>
  <si>
    <t>298469</t>
  </si>
  <si>
    <t>298466</t>
  </si>
  <si>
    <t>298465</t>
  </si>
  <si>
    <t>298467</t>
  </si>
  <si>
    <t>299350</t>
  </si>
  <si>
    <t>299351</t>
  </si>
  <si>
    <t>299352</t>
  </si>
  <si>
    <t>299353</t>
  </si>
  <si>
    <t>299354</t>
  </si>
  <si>
    <t>299355</t>
  </si>
  <si>
    <t>299356</t>
  </si>
  <si>
    <t>299357</t>
  </si>
  <si>
    <t>299358</t>
  </si>
  <si>
    <t>299359</t>
  </si>
  <si>
    <t>299361</t>
  </si>
  <si>
    <t>299360</t>
  </si>
  <si>
    <t>ASHLEY EXPRESS</t>
  </si>
  <si>
    <t>021300</t>
  </si>
  <si>
    <t>67629506</t>
  </si>
  <si>
    <t>ASHLEY</t>
  </si>
  <si>
    <t>004005</t>
  </si>
  <si>
    <t>67776575</t>
  </si>
  <si>
    <t>67776573</t>
  </si>
  <si>
    <t>67776572</t>
  </si>
  <si>
    <t>67776564</t>
  </si>
  <si>
    <t>67776565</t>
  </si>
  <si>
    <t>67776566</t>
  </si>
  <si>
    <t>67776567</t>
  </si>
  <si>
    <t>67776568</t>
  </si>
  <si>
    <t>67776569</t>
  </si>
  <si>
    <t>67776570</t>
  </si>
  <si>
    <t>67776571</t>
  </si>
  <si>
    <t>67776574</t>
  </si>
  <si>
    <t>67776563</t>
  </si>
  <si>
    <t>67776562</t>
  </si>
  <si>
    <t>67776561</t>
  </si>
  <si>
    <t>67776560</t>
  </si>
  <si>
    <t>67776559</t>
  </si>
  <si>
    <t>67776558</t>
  </si>
  <si>
    <t>67776557</t>
  </si>
  <si>
    <t>67776553</t>
  </si>
  <si>
    <t>67776554</t>
  </si>
  <si>
    <t>67776555</t>
  </si>
  <si>
    <t>67776556</t>
  </si>
  <si>
    <t>67776551</t>
  </si>
  <si>
    <t>67776549</t>
  </si>
  <si>
    <t>67776548</t>
  </si>
  <si>
    <t>67776547</t>
  </si>
  <si>
    <t>67776546</t>
  </si>
  <si>
    <t>67776544</t>
  </si>
  <si>
    <t>67776541</t>
  </si>
  <si>
    <t>67776542</t>
  </si>
  <si>
    <t>67776543</t>
  </si>
  <si>
    <t>67776576</t>
  </si>
  <si>
    <t>ASHLEY SIG</t>
  </si>
  <si>
    <t>004600</t>
  </si>
  <si>
    <t>67776550</t>
  </si>
  <si>
    <t>67776545</t>
  </si>
  <si>
    <t>ASHLEY NECTAR</t>
  </si>
  <si>
    <t>039600</t>
  </si>
  <si>
    <t>67776552</t>
  </si>
  <si>
    <t>ASPEN</t>
  </si>
  <si>
    <t>004800</t>
  </si>
  <si>
    <t>1510366</t>
  </si>
  <si>
    <t>1496861</t>
  </si>
  <si>
    <t>1483233</t>
  </si>
  <si>
    <t>1496147</t>
  </si>
  <si>
    <t>1478857</t>
  </si>
  <si>
    <t>BASSETT</t>
  </si>
  <si>
    <t>008800</t>
  </si>
  <si>
    <t>CM003148</t>
  </si>
  <si>
    <t>BEST</t>
  </si>
  <si>
    <t>009400</t>
  </si>
  <si>
    <t>4131311</t>
  </si>
  <si>
    <t>4134659</t>
  </si>
  <si>
    <t>4137163</t>
  </si>
  <si>
    <t>4139717</t>
  </si>
  <si>
    <t>4143021</t>
  </si>
  <si>
    <t>CANADEL COURMET</t>
  </si>
  <si>
    <t>010100</t>
  </si>
  <si>
    <t>1464460</t>
  </si>
  <si>
    <t>CANADEL</t>
  </si>
  <si>
    <t>022100</t>
  </si>
  <si>
    <t>1464220</t>
  </si>
  <si>
    <t>-1464460</t>
  </si>
  <si>
    <t>--1464460</t>
  </si>
  <si>
    <t>CHROMCRAFT</t>
  </si>
  <si>
    <t>007800</t>
  </si>
  <si>
    <t>4878</t>
  </si>
  <si>
    <t>CORSICANA</t>
  </si>
  <si>
    <t>021802</t>
  </si>
  <si>
    <t>21664223</t>
  </si>
  <si>
    <t>21664222</t>
  </si>
  <si>
    <t>21664602</t>
  </si>
  <si>
    <t>21664218</t>
  </si>
  <si>
    <t>21664219</t>
  </si>
  <si>
    <t>21664980</t>
  </si>
  <si>
    <t>21664221</t>
  </si>
  <si>
    <t>21664978</t>
  </si>
  <si>
    <t>COZZIA</t>
  </si>
  <si>
    <t>002400</t>
  </si>
  <si>
    <t>215144-CM</t>
  </si>
  <si>
    <t>215690-IN</t>
  </si>
  <si>
    <t>215673-IN</t>
  </si>
  <si>
    <t>215676-IN</t>
  </si>
  <si>
    <t>215747-IN</t>
  </si>
  <si>
    <t>CRESTVIEW</t>
  </si>
  <si>
    <t>029900</t>
  </si>
  <si>
    <t>INV536983</t>
  </si>
  <si>
    <t>INV536976</t>
  </si>
  <si>
    <t>INV536977</t>
  </si>
  <si>
    <t>INV536975</t>
  </si>
  <si>
    <t>024803</t>
  </si>
  <si>
    <t>11953318-1</t>
  </si>
  <si>
    <t>11961661-0</t>
  </si>
  <si>
    <t>11957817-0</t>
  </si>
  <si>
    <t>11961661-1</t>
  </si>
  <si>
    <t>ENGLAND</t>
  </si>
  <si>
    <t>033200</t>
  </si>
  <si>
    <t>28769962</t>
  </si>
  <si>
    <t>-2876962</t>
  </si>
  <si>
    <t>2876961</t>
  </si>
  <si>
    <t>2876960</t>
  </si>
  <si>
    <t>ENGLAND-S</t>
  </si>
  <si>
    <t>033550</t>
  </si>
  <si>
    <t>2876959</t>
  </si>
  <si>
    <t>2877308</t>
  </si>
  <si>
    <t>-2877308</t>
  </si>
  <si>
    <t>2877307</t>
  </si>
  <si>
    <t>-2877307</t>
  </si>
  <si>
    <t>FLEXSTEEL</t>
  </si>
  <si>
    <t>035000</t>
  </si>
  <si>
    <t>K06764</t>
  </si>
  <si>
    <t>K06762</t>
  </si>
  <si>
    <t>K06763</t>
  </si>
  <si>
    <t>K06760</t>
  </si>
  <si>
    <t>K06761</t>
  </si>
  <si>
    <t>K06758</t>
  </si>
  <si>
    <t>K06759</t>
  </si>
  <si>
    <t>K06756</t>
  </si>
  <si>
    <t>K06757</t>
  </si>
  <si>
    <t>K06754</t>
  </si>
  <si>
    <t>K06755</t>
  </si>
  <si>
    <t>K06752</t>
  </si>
  <si>
    <t>K06753</t>
  </si>
  <si>
    <t>K06750</t>
  </si>
  <si>
    <t>K06751</t>
  </si>
  <si>
    <t>K06749</t>
  </si>
  <si>
    <t>E84226</t>
  </si>
  <si>
    <t>E48227</t>
  </si>
  <si>
    <t>E48224</t>
  </si>
  <si>
    <t>E48225</t>
  </si>
  <si>
    <t>E48222</t>
  </si>
  <si>
    <t>E48223</t>
  </si>
  <si>
    <t>E48220</t>
  </si>
  <si>
    <t>E48221</t>
  </si>
  <si>
    <t>E48219</t>
  </si>
  <si>
    <t>FORTY WEST</t>
  </si>
  <si>
    <t>011300</t>
  </si>
  <si>
    <t>E337896C</t>
  </si>
  <si>
    <t>INTERNATIONAL</t>
  </si>
  <si>
    <t>012300</t>
  </si>
  <si>
    <t>616855-IN</t>
  </si>
  <si>
    <t>616854-IN</t>
  </si>
  <si>
    <t>616853-IN</t>
  </si>
  <si>
    <t>616838-IN</t>
  </si>
  <si>
    <t>616842-IN</t>
  </si>
  <si>
    <t>616831-IN</t>
  </si>
  <si>
    <t>616837-IN</t>
  </si>
  <si>
    <t>616850-IN</t>
  </si>
  <si>
    <t>616845-IN</t>
  </si>
  <si>
    <t>616848-IN</t>
  </si>
  <si>
    <t>616836-IN</t>
  </si>
  <si>
    <t>JACKSON</t>
  </si>
  <si>
    <t>052001</t>
  </si>
  <si>
    <t>350622</t>
  </si>
  <si>
    <t>357583</t>
  </si>
  <si>
    <t>356372</t>
  </si>
  <si>
    <t>356371</t>
  </si>
  <si>
    <t>356370</t>
  </si>
  <si>
    <t>355575</t>
  </si>
  <si>
    <t>355168</t>
  </si>
  <si>
    <t>352151</t>
  </si>
  <si>
    <t>355574</t>
  </si>
  <si>
    <t>12348661</t>
  </si>
  <si>
    <t>KAVANA</t>
  </si>
  <si>
    <t>035400</t>
  </si>
  <si>
    <t>712975</t>
  </si>
  <si>
    <t>712833</t>
  </si>
  <si>
    <t>11/296/23</t>
  </si>
  <si>
    <t>LAMBOR</t>
  </si>
  <si>
    <t>021100</t>
  </si>
  <si>
    <t>CM-LABORDA</t>
  </si>
  <si>
    <t>LEATHER ITALIA</t>
  </si>
  <si>
    <t>020302</t>
  </si>
  <si>
    <t>B111057701</t>
  </si>
  <si>
    <t>11105647</t>
  </si>
  <si>
    <t>11108565</t>
  </si>
  <si>
    <t>11108703</t>
  </si>
  <si>
    <t>LEGACY</t>
  </si>
  <si>
    <t>058500</t>
  </si>
  <si>
    <t>1236467</t>
  </si>
  <si>
    <t>1239080</t>
  </si>
  <si>
    <t>1239547</t>
  </si>
  <si>
    <t>1239584</t>
  </si>
  <si>
    <t>1239785</t>
  </si>
  <si>
    <t>1239784</t>
  </si>
  <si>
    <t>LIBERTY</t>
  </si>
  <si>
    <t>054101</t>
  </si>
  <si>
    <t>INV2453450</t>
  </si>
  <si>
    <t>INV2453449</t>
  </si>
  <si>
    <t>INV2453448</t>
  </si>
  <si>
    <t>INV2453447</t>
  </si>
  <si>
    <t>INV2453446</t>
  </si>
  <si>
    <t>INV2453445</t>
  </si>
  <si>
    <t>INV2453444</t>
  </si>
  <si>
    <t>INV2453443</t>
  </si>
  <si>
    <t>INV2453442</t>
  </si>
  <si>
    <t>INV2447264</t>
  </si>
  <si>
    <t>INV2447254</t>
  </si>
  <si>
    <t>INV2447253</t>
  </si>
  <si>
    <t>INV2447260</t>
  </si>
  <si>
    <t>LINON</t>
  </si>
  <si>
    <t>038401</t>
  </si>
  <si>
    <t>95830625</t>
  </si>
  <si>
    <t>LITE SOURCE</t>
  </si>
  <si>
    <t>058800</t>
  </si>
  <si>
    <t>C566292</t>
  </si>
  <si>
    <t>C575255</t>
  </si>
  <si>
    <t>LUX</t>
  </si>
  <si>
    <t>032900</t>
  </si>
  <si>
    <t>101890</t>
  </si>
  <si>
    <t>MAGNUSSEN</t>
  </si>
  <si>
    <t>070700</t>
  </si>
  <si>
    <t>3779889</t>
  </si>
  <si>
    <t>3779952</t>
  </si>
  <si>
    <t>3779951</t>
  </si>
  <si>
    <t>3779885</t>
  </si>
  <si>
    <t>3779873</t>
  </si>
  <si>
    <t>3780842</t>
  </si>
  <si>
    <t>3780841</t>
  </si>
  <si>
    <t>3780840</t>
  </si>
  <si>
    <t>3781193</t>
  </si>
  <si>
    <t>3781192</t>
  </si>
  <si>
    <t>MICHAEL NICHOLAS</t>
  </si>
  <si>
    <t>003700</t>
  </si>
  <si>
    <t>674642</t>
  </si>
  <si>
    <t>674658</t>
  </si>
  <si>
    <t>674659</t>
  </si>
  <si>
    <t>674657</t>
  </si>
  <si>
    <t>674656</t>
  </si>
  <si>
    <t>674655</t>
  </si>
  <si>
    <t>674654</t>
  </si>
  <si>
    <t>674653</t>
  </si>
  <si>
    <t>674652</t>
  </si>
  <si>
    <t>674651</t>
  </si>
  <si>
    <t>674650</t>
  </si>
  <si>
    <t>674649</t>
  </si>
  <si>
    <t>674648</t>
  </si>
  <si>
    <t>674647</t>
  </si>
  <si>
    <t>674646</t>
  </si>
  <si>
    <t>674645</t>
  </si>
  <si>
    <t>674644</t>
  </si>
  <si>
    <t>674643</t>
  </si>
  <si>
    <t>674641</t>
  </si>
  <si>
    <t>NORTHERN PLAINS</t>
  </si>
  <si>
    <t>076803</t>
  </si>
  <si>
    <t>11339259</t>
  </si>
  <si>
    <t>11339258</t>
  </si>
  <si>
    <t>11339485</t>
  </si>
  <si>
    <t>11339482</t>
  </si>
  <si>
    <t>11339486</t>
  </si>
  <si>
    <t>11339484</t>
  </si>
  <si>
    <t>11339487</t>
  </si>
  <si>
    <t>PALLISER</t>
  </si>
  <si>
    <t>066800</t>
  </si>
  <si>
    <t>806519</t>
  </si>
  <si>
    <t>806520</t>
  </si>
  <si>
    <t>069901</t>
  </si>
  <si>
    <t>95830624</t>
  </si>
  <si>
    <t>95830623</t>
  </si>
  <si>
    <t>SAGEBROOK</t>
  </si>
  <si>
    <t>038700</t>
  </si>
  <si>
    <t>PSCM122446</t>
  </si>
  <si>
    <t>074108</t>
  </si>
  <si>
    <t>11959891-0</t>
  </si>
  <si>
    <t>11959890-0</t>
  </si>
  <si>
    <t>11961662-0</t>
  </si>
  <si>
    <t>11961852-0</t>
  </si>
  <si>
    <t>11960794-0</t>
  </si>
  <si>
    <t>11963644-0</t>
  </si>
  <si>
    <t>11963854-0</t>
  </si>
  <si>
    <t>11963649-0</t>
  </si>
  <si>
    <t>11959890-1</t>
  </si>
  <si>
    <t>11957818-1</t>
  </si>
  <si>
    <t>11954459-1</t>
  </si>
  <si>
    <t>11965770-0</t>
  </si>
  <si>
    <t>11965796-0</t>
  </si>
  <si>
    <t>11968010-0</t>
  </si>
  <si>
    <t>11964872-0</t>
  </si>
  <si>
    <t>11958797-0</t>
  </si>
  <si>
    <t>11968010-1</t>
  </si>
  <si>
    <t>SCHINDLER</t>
  </si>
  <si>
    <t>163101</t>
  </si>
  <si>
    <t>4607207007</t>
  </si>
  <si>
    <t>SOUTHERN</t>
  </si>
  <si>
    <t>075800</t>
  </si>
  <si>
    <t>1486202</t>
  </si>
  <si>
    <t>1487470</t>
  </si>
  <si>
    <t>1487469</t>
  </si>
  <si>
    <t>1487468</t>
  </si>
  <si>
    <t>1487471</t>
  </si>
  <si>
    <t>1487472</t>
  </si>
  <si>
    <t>1487473</t>
  </si>
  <si>
    <t>1487474</t>
  </si>
  <si>
    <t>1487475</t>
  </si>
  <si>
    <t>040501</t>
  </si>
  <si>
    <t>11937938-0</t>
  </si>
  <si>
    <t>11955554-0</t>
  </si>
  <si>
    <t>11931055-2</t>
  </si>
  <si>
    <t>TRENDWOOD</t>
  </si>
  <si>
    <t>020900</t>
  </si>
  <si>
    <t>DM56236</t>
  </si>
  <si>
    <t>128103</t>
  </si>
  <si>
    <t>ULTRA COMFORT</t>
  </si>
  <si>
    <t>097300</t>
  </si>
  <si>
    <t>I250900080</t>
  </si>
  <si>
    <t>X-CHAIR</t>
  </si>
  <si>
    <t>035100</t>
  </si>
  <si>
    <t>CM024365</t>
  </si>
  <si>
    <t>PO #/Non PO</t>
  </si>
  <si>
    <t>Non PO</t>
  </si>
  <si>
    <t>No</t>
  </si>
  <si>
    <t>PO In Storis</t>
  </si>
  <si>
    <t>Total per Vendor</t>
  </si>
  <si>
    <t>Boston Pd Date</t>
  </si>
  <si>
    <t>Check #</t>
  </si>
  <si>
    <t>347050</t>
  </si>
  <si>
    <t>347052</t>
  </si>
  <si>
    <t>347233</t>
  </si>
  <si>
    <t>347232</t>
  </si>
  <si>
    <t>347394</t>
  </si>
  <si>
    <t>347392</t>
  </si>
  <si>
    <t>347393</t>
  </si>
  <si>
    <t>347626</t>
  </si>
  <si>
    <t>347555</t>
  </si>
  <si>
    <t>347558</t>
  </si>
  <si>
    <t>347625</t>
  </si>
  <si>
    <t>347563</t>
  </si>
  <si>
    <t>347562</t>
  </si>
  <si>
    <t>347248</t>
  </si>
  <si>
    <t>347123</t>
  </si>
  <si>
    <t>346644</t>
  </si>
  <si>
    <t>346536</t>
  </si>
  <si>
    <t>346535</t>
  </si>
  <si>
    <t>346534</t>
  </si>
  <si>
    <t>346516</t>
  </si>
  <si>
    <t>2000-00 INV</t>
  </si>
  <si>
    <t>346193</t>
  </si>
  <si>
    <t>346805</t>
  </si>
  <si>
    <t>346879</t>
  </si>
  <si>
    <t>347320</t>
  </si>
  <si>
    <t>347231</t>
  </si>
  <si>
    <t>347230</t>
  </si>
  <si>
    <t>347228</t>
  </si>
  <si>
    <t>347227</t>
  </si>
  <si>
    <t>347226</t>
  </si>
  <si>
    <t>347225</t>
  </si>
  <si>
    <t>347224</t>
  </si>
  <si>
    <t>347223</t>
  </si>
  <si>
    <t>347220</t>
  </si>
  <si>
    <t>347206</t>
  </si>
  <si>
    <t>347205</t>
  </si>
  <si>
    <t>347204</t>
  </si>
  <si>
    <t>347169</t>
  </si>
  <si>
    <t>346995</t>
  </si>
  <si>
    <t>346886</t>
  </si>
  <si>
    <t>346517</t>
  </si>
  <si>
    <t>347363</t>
  </si>
  <si>
    <t>347451</t>
  </si>
  <si>
    <t>347511</t>
  </si>
  <si>
    <t>347510</t>
  </si>
  <si>
    <t>347559</t>
  </si>
  <si>
    <t>Total</t>
  </si>
  <si>
    <t>5150-00 Freight</t>
  </si>
  <si>
    <t xml:space="preserve"> </t>
  </si>
  <si>
    <t>347570</t>
  </si>
  <si>
    <t>347646</t>
  </si>
  <si>
    <t>347647</t>
  </si>
  <si>
    <t>347651</t>
  </si>
  <si>
    <t>347648</t>
  </si>
  <si>
    <t>347650</t>
  </si>
  <si>
    <t>346587</t>
  </si>
  <si>
    <t>347837</t>
  </si>
  <si>
    <t>347962</t>
  </si>
  <si>
    <t>347945</t>
  </si>
  <si>
    <t>347944</t>
  </si>
  <si>
    <t>347929</t>
  </si>
  <si>
    <t>347926</t>
  </si>
  <si>
    <t>347927</t>
  </si>
  <si>
    <t>347922</t>
  </si>
  <si>
    <t>347921</t>
  </si>
  <si>
    <t>347918</t>
  </si>
  <si>
    <t>347916</t>
  </si>
  <si>
    <t>347913</t>
  </si>
  <si>
    <t>347908</t>
  </si>
  <si>
    <t>347896</t>
  </si>
  <si>
    <t>347874</t>
  </si>
  <si>
    <t>347855</t>
  </si>
  <si>
    <t>347839</t>
  </si>
  <si>
    <t>347830</t>
  </si>
  <si>
    <t>347828</t>
  </si>
  <si>
    <t>347827</t>
  </si>
  <si>
    <t>347825</t>
  </si>
  <si>
    <t>347823</t>
  </si>
  <si>
    <t>347822</t>
  </si>
  <si>
    <t>347821</t>
  </si>
  <si>
    <t>347819</t>
  </si>
  <si>
    <t>347791</t>
  </si>
  <si>
    <t>347781</t>
  </si>
  <si>
    <t>347777</t>
  </si>
  <si>
    <t>347776</t>
  </si>
  <si>
    <t>347524</t>
  </si>
  <si>
    <t>347084</t>
  </si>
  <si>
    <t>347110</t>
  </si>
  <si>
    <t>347292</t>
  </si>
  <si>
    <t>346032</t>
  </si>
  <si>
    <t>347809</t>
  </si>
  <si>
    <t>347718</t>
  </si>
  <si>
    <t>347820</t>
  </si>
  <si>
    <t>338278</t>
  </si>
  <si>
    <t>346278</t>
  </si>
  <si>
    <t>346707</t>
  </si>
  <si>
    <t>509422</t>
  </si>
  <si>
    <t>15.29</t>
  </si>
  <si>
    <t>559138</t>
  </si>
  <si>
    <t>347684</t>
  </si>
  <si>
    <t>347900</t>
  </si>
  <si>
    <t>347899</t>
  </si>
  <si>
    <t>347938</t>
  </si>
  <si>
    <t>347898</t>
  </si>
  <si>
    <t>347897</t>
  </si>
  <si>
    <t>347773</t>
  </si>
  <si>
    <t>347772</t>
  </si>
  <si>
    <t>347556</t>
  </si>
  <si>
    <t>565025</t>
  </si>
  <si>
    <t>571225</t>
  </si>
  <si>
    <t>539025</t>
  </si>
  <si>
    <t>347858</t>
  </si>
  <si>
    <t>346993</t>
  </si>
  <si>
    <t>346809</t>
  </si>
  <si>
    <t>346571</t>
  </si>
  <si>
    <t>346009</t>
  </si>
  <si>
    <t>DANBY (O'Rourke)</t>
  </si>
  <si>
    <t>248990</t>
  </si>
  <si>
    <t>248994</t>
  </si>
  <si>
    <t>248992</t>
  </si>
  <si>
    <t>347560</t>
  </si>
  <si>
    <t>347530</t>
  </si>
  <si>
    <t>781825</t>
  </si>
  <si>
    <t>571425</t>
  </si>
  <si>
    <t>COLDERS VENDOR</t>
  </si>
  <si>
    <t>663025</t>
  </si>
  <si>
    <t>681825</t>
  </si>
  <si>
    <t>681125</t>
  </si>
  <si>
    <t>347187</t>
  </si>
  <si>
    <t>347013</t>
  </si>
  <si>
    <t>347153</t>
  </si>
  <si>
    <t>347627</t>
  </si>
  <si>
    <t>346488</t>
  </si>
  <si>
    <t>347591</t>
  </si>
  <si>
    <t>347592</t>
  </si>
  <si>
    <t>347579</t>
  </si>
  <si>
    <t>347589</t>
  </si>
  <si>
    <t>347577</t>
  </si>
  <si>
    <t>347463</t>
  </si>
  <si>
    <t>347464</t>
  </si>
  <si>
    <t>628544</t>
  </si>
  <si>
    <t>347462</t>
  </si>
  <si>
    <t>528544</t>
  </si>
  <si>
    <t>347257</t>
  </si>
  <si>
    <t>347303</t>
  </si>
  <si>
    <t>347210</t>
  </si>
  <si>
    <t>347217</t>
  </si>
  <si>
    <t>347107</t>
  </si>
  <si>
    <t>347041</t>
  </si>
  <si>
    <t>347049</t>
  </si>
  <si>
    <t>346769</t>
  </si>
  <si>
    <t>347881</t>
  </si>
  <si>
    <t>347880</t>
  </si>
  <si>
    <t>347879</t>
  </si>
  <si>
    <t>347604</t>
  </si>
  <si>
    <t>347702</t>
  </si>
  <si>
    <t>347532</t>
  </si>
  <si>
    <t>347653</t>
  </si>
  <si>
    <t>347806</t>
  </si>
  <si>
    <t>347703</t>
  </si>
  <si>
    <t>347805</t>
  </si>
  <si>
    <t>347615</t>
  </si>
  <si>
    <t>346828</t>
  </si>
  <si>
    <t>347865</t>
  </si>
  <si>
    <t>347736</t>
  </si>
  <si>
    <t>347734</t>
  </si>
  <si>
    <t>346489</t>
  </si>
  <si>
    <t>347602</t>
  </si>
  <si>
    <t>347538</t>
  </si>
  <si>
    <t>347018</t>
  </si>
  <si>
    <t>347597</t>
  </si>
  <si>
    <t>346409</t>
  </si>
  <si>
    <t>820325</t>
  </si>
  <si>
    <t>815626</t>
  </si>
  <si>
    <t>347528</t>
  </si>
  <si>
    <t>347587</t>
  </si>
  <si>
    <t>912584</t>
  </si>
  <si>
    <t>Inventory PO's in Colders/Received/Open AP as of 9.10.2025</t>
  </si>
  <si>
    <t>346847</t>
  </si>
  <si>
    <t>347328</t>
  </si>
  <si>
    <t>347471</t>
  </si>
  <si>
    <t>347573</t>
  </si>
  <si>
    <t>347780</t>
  </si>
  <si>
    <t>347470</t>
  </si>
  <si>
    <t>347744</t>
  </si>
  <si>
    <t>347713</t>
  </si>
  <si>
    <t>347670</t>
  </si>
  <si>
    <t>347617</t>
  </si>
  <si>
    <t>347550</t>
  </si>
  <si>
    <t>347493</t>
  </si>
  <si>
    <t>347492</t>
  </si>
  <si>
    <t>347448</t>
  </si>
  <si>
    <t>347440</t>
  </si>
  <si>
    <t>347343</t>
  </si>
  <si>
    <t>347342</t>
  </si>
  <si>
    <t>347126</t>
  </si>
  <si>
    <t>347395</t>
  </si>
  <si>
    <t>528626</t>
  </si>
  <si>
    <t>1333-00 Tariff</t>
  </si>
  <si>
    <t>Adv Allowance</t>
  </si>
  <si>
    <t>346631</t>
  </si>
  <si>
    <t>346630</t>
  </si>
  <si>
    <t>345042</t>
  </si>
  <si>
    <t>344384</t>
  </si>
  <si>
    <t>347165</t>
  </si>
  <si>
    <t>347164</t>
  </si>
  <si>
    <t>347163</t>
  </si>
  <si>
    <t>346629</t>
  </si>
  <si>
    <t>346628</t>
  </si>
  <si>
    <t>528562</t>
  </si>
  <si>
    <t>346812</t>
  </si>
  <si>
    <t>346811</t>
  </si>
  <si>
    <t>346684</t>
  </si>
  <si>
    <t>Auditors Notes:</t>
  </si>
  <si>
    <t>Colders inventory received in their system was uploaded by IT department with cost included</t>
  </si>
  <si>
    <t>These invoices were in Colders AP (already entered and part of Working Capital calculation)</t>
  </si>
  <si>
    <t>Colders AP GL Account was never balanced to AP detail invoice total so variances may exist</t>
  </si>
  <si>
    <t>346679</t>
  </si>
  <si>
    <t>346678</t>
  </si>
  <si>
    <t>346676</t>
  </si>
  <si>
    <t>346508</t>
  </si>
  <si>
    <t>346235</t>
  </si>
  <si>
    <t>2000-00 AMT SET UP</t>
  </si>
  <si>
    <t>346247</t>
  </si>
  <si>
    <t>346245</t>
  </si>
  <si>
    <t>346244</t>
  </si>
  <si>
    <t>346237</t>
  </si>
  <si>
    <t>346236</t>
  </si>
  <si>
    <t>346188</t>
  </si>
  <si>
    <t>346137</t>
  </si>
  <si>
    <t>345940</t>
  </si>
  <si>
    <t>345638</t>
  </si>
  <si>
    <t>345283</t>
  </si>
  <si>
    <t>997768</t>
  </si>
  <si>
    <t>768988</t>
  </si>
  <si>
    <t>768994</t>
  </si>
  <si>
    <t>741887</t>
  </si>
  <si>
    <t>768995</t>
  </si>
  <si>
    <t>741994</t>
  </si>
  <si>
    <t>768996</t>
  </si>
  <si>
    <t>768997</t>
  </si>
  <si>
    <t>741997</t>
  </si>
  <si>
    <t>346605</t>
  </si>
  <si>
    <t>347186</t>
  </si>
  <si>
    <t>347396</t>
  </si>
  <si>
    <t>POWELL (Lion Home Décor)</t>
  </si>
  <si>
    <t>347270</t>
  </si>
  <si>
    <t>741993</t>
  </si>
  <si>
    <t>741990</t>
  </si>
  <si>
    <t>741992</t>
  </si>
  <si>
    <t>SAMSUNG (O'Rourke)</t>
  </si>
  <si>
    <t>741995</t>
  </si>
  <si>
    <t>741985</t>
  </si>
  <si>
    <t>741996</t>
  </si>
  <si>
    <t>741895</t>
  </si>
  <si>
    <t>741700R</t>
  </si>
  <si>
    <t>346966</t>
  </si>
  <si>
    <t>347047</t>
  </si>
  <si>
    <t>347046</t>
  </si>
  <si>
    <t>347045</t>
  </si>
  <si>
    <t>347060</t>
  </si>
  <si>
    <t>347194</t>
  </si>
  <si>
    <t>347197</t>
  </si>
  <si>
    <t>347199</t>
  </si>
  <si>
    <t>347200</t>
  </si>
  <si>
    <t>THOR (O'Rourke)</t>
  </si>
  <si>
    <t>405991</t>
  </si>
  <si>
    <t>405979</t>
  </si>
  <si>
    <t>347253</t>
  </si>
  <si>
    <t>Archbold (AMISH ESSENTIALS)</t>
  </si>
  <si>
    <t>included in the Colders inventory asset &amp; freight expenses.  POs were not imported into Storis</t>
  </si>
  <si>
    <t>JACKSON (Rosenthal)</t>
  </si>
  <si>
    <t>Pd 10/08/2025</t>
  </si>
  <si>
    <t>Ashley Furniture</t>
  </si>
  <si>
    <t>LIBERTY (Rosenthal)</t>
  </si>
  <si>
    <t>Boston AP Bill #</t>
  </si>
  <si>
    <t xml:space="preserve">Posting Account </t>
  </si>
  <si>
    <t>2000-00</t>
  </si>
  <si>
    <t>1077146,47&amp;48</t>
  </si>
  <si>
    <t>To record these open AP invoices these will be coded to GL 2000-00 since the inventory cost is already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</si>
</sst>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mm/dd/yy;@"/>
  </numFmts>
  <fonts count="7" x14ac:knownFonts="1">
    <font>
      <sz val="8"/>
      <color theme="1"/>
      <name val="Courier New"/>
      <family val="2"/>
    </font>
    <font>
      <sz val="10"/>
      <color theme="1"/>
      <name val="Courier New"/>
      <family val="2"/>
    </font>
    <font>
      <b/>
      <sz val="10"/>
      <color theme="1"/>
      <name val="Courier New"/>
      <family val="3"/>
    </font>
    <font>
      <b/>
      <sz val="10"/>
      <color rgb="FFFF0000"/>
      <name val="Courier New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0"/>
      <color theme="1"/>
      <name val="Courier New"/>
      <family val="3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49" fontId="1" fillId="0" borderId="0" xfId="0" applyNumberFormat="1" applyFont="1"/>
    <xf numFmtId="164" fontId="1" fillId="0" borderId="0" xfId="0" applyNumberFormat="1" applyFont="1"/>
    <xf numFmtId="8" fontId="1" fillId="0" borderId="0" xfId="0" applyNumberFormat="1" applyFont="1"/>
    <xf numFmtId="8" fontId="1" fillId="0" borderId="2" xfId="0" applyNumberFormat="1" applyFont="1" applyBorder="1"/>
    <xf numFmtId="49" fontId="1" fillId="0" borderId="0" xfId="0" applyNumberFormat="1" applyFont="1" applyAlignment="1">
      <alignment horizontal="center"/>
    </xf>
    <xf numFmtId="0" fontId="1" fillId="2" borderId="0" xfId="0" applyFont="1" applyFill="1"/>
    <xf numFmtId="4" fontId="1" fillId="0" borderId="0" xfId="0" applyNumberFormat="1" applyFont="1"/>
    <xf numFmtId="4" fontId="1" fillId="2" borderId="0" xfId="0" applyNumberFormat="1" applyFont="1" applyFill="1"/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8" fontId="1" fillId="2" borderId="0" xfId="0" applyNumberFormat="1" applyFont="1" applyFill="1"/>
    <xf numFmtId="49" fontId="1" fillId="2" borderId="0" xfId="0" applyNumberFormat="1" applyFont="1" applyFill="1"/>
    <xf numFmtId="49" fontId="1" fillId="2" borderId="0" xfId="0" applyNumberFormat="1" applyFont="1" applyFill="1" applyAlignment="1">
      <alignment horizontal="center"/>
    </xf>
    <xf numFmtId="164" fontId="1" fillId="2" borderId="0" xfId="0" applyNumberFormat="1" applyFont="1" applyFill="1"/>
    <xf numFmtId="8" fontId="1" fillId="3" borderId="0" xfId="0" applyNumberFormat="1" applyFont="1" applyFill="1"/>
    <xf numFmtId="0" fontId="3" fillId="0" borderId="0" xfId="0" applyFont="1"/>
    <xf numFmtId="0" fontId="3" fillId="0" borderId="0" xfId="0" applyFont="1" applyAlignment="1">
      <alignment wrapText="1"/>
    </xf>
    <xf numFmtId="8" fontId="3" fillId="0" borderId="0" xfId="0" applyNumberFormat="1" applyFont="1"/>
    <xf numFmtId="0" fontId="2" fillId="0" borderId="0" xfId="0" applyFont="1"/>
    <xf numFmtId="8" fontId="2" fillId="3" borderId="1" xfId="0" applyNumberFormat="1" applyFont="1" applyFill="1" applyBorder="1" applyAlignment="1">
      <alignment horizontal="center" wrapText="1"/>
    </xf>
    <xf numFmtId="0" fontId="1" fillId="0" borderId="1" xfId="0" applyFont="1" applyBorder="1"/>
    <xf numFmtId="8" fontId="1" fillId="3" borderId="1" xfId="0" applyNumberFormat="1" applyFont="1" applyFill="1" applyBorder="1"/>
    <xf numFmtId="4" fontId="1" fillId="0" borderId="1" xfId="0" applyNumberFormat="1" applyFont="1" applyBorder="1"/>
    <xf numFmtId="0" fontId="1" fillId="3" borderId="0" xfId="0" applyFont="1" applyFill="1"/>
    <xf numFmtId="49" fontId="1" fillId="3" borderId="0" xfId="0" applyNumberFormat="1" applyFont="1" applyFill="1"/>
    <xf numFmtId="49" fontId="1" fillId="3" borderId="0" xfId="0" applyNumberFormat="1" applyFont="1" applyFill="1" applyAlignment="1">
      <alignment horizontal="center"/>
    </xf>
    <xf numFmtId="164" fontId="1" fillId="3" borderId="0" xfId="0" applyNumberFormat="1" applyFont="1" applyFill="1"/>
    <xf numFmtId="4" fontId="1" fillId="3" borderId="0" xfId="0" applyNumberFormat="1" applyFont="1" applyFill="1"/>
    <xf numFmtId="0" fontId="1" fillId="2" borderId="1" xfId="0" applyFont="1" applyFill="1" applyBorder="1"/>
    <xf numFmtId="49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/>
    <xf numFmtId="8" fontId="1" fillId="2" borderId="1" xfId="0" applyNumberFormat="1" applyFont="1" applyFill="1" applyBorder="1"/>
    <xf numFmtId="0" fontId="1" fillId="0" borderId="3" xfId="0" applyFont="1" applyBorder="1"/>
    <xf numFmtId="8" fontId="1" fillId="0" borderId="3" xfId="0" applyNumberFormat="1" applyFont="1" applyBorder="1"/>
    <xf numFmtId="4" fontId="1" fillId="0" borderId="3" xfId="0" applyNumberFormat="1" applyFont="1" applyBorder="1"/>
    <xf numFmtId="4" fontId="1" fillId="4" borderId="0" xfId="0" applyNumberFormat="1" applyFont="1" applyFill="1"/>
    <xf numFmtId="4" fontId="1" fillId="4" borderId="1" xfId="0" applyNumberFormat="1" applyFont="1" applyFill="1" applyBorder="1"/>
    <xf numFmtId="0" fontId="1" fillId="2" borderId="3" xfId="0" applyFont="1" applyFill="1" applyBorder="1"/>
    <xf numFmtId="49" fontId="1" fillId="2" borderId="3" xfId="0" applyNumberFormat="1" applyFont="1" applyFill="1" applyBorder="1"/>
    <xf numFmtId="49" fontId="1" fillId="2" borderId="3" xfId="0" applyNumberFormat="1" applyFont="1" applyFill="1" applyBorder="1" applyAlignment="1">
      <alignment horizontal="center"/>
    </xf>
    <xf numFmtId="164" fontId="1" fillId="2" borderId="3" xfId="0" applyNumberFormat="1" applyFont="1" applyFill="1" applyBorder="1"/>
    <xf numFmtId="8" fontId="1" fillId="2" borderId="3" xfId="0" applyNumberFormat="1" applyFont="1" applyFill="1" applyBorder="1"/>
    <xf numFmtId="4" fontId="1" fillId="2" borderId="1" xfId="0" applyNumberFormat="1" applyFont="1" applyFill="1" applyBorder="1"/>
    <xf numFmtId="4" fontId="1" fillId="2" borderId="3" xfId="0" applyNumberFormat="1" applyFont="1" applyFill="1" applyBorder="1"/>
    <xf numFmtId="8" fontId="1" fillId="5" borderId="1" xfId="0" applyNumberFormat="1" applyFont="1" applyFill="1" applyBorder="1"/>
    <xf numFmtId="8" fontId="1" fillId="5" borderId="0" xfId="0" applyNumberFormat="1" applyFont="1" applyFill="1"/>
    <xf numFmtId="8" fontId="1" fillId="5" borderId="3" xfId="0" applyNumberFormat="1" applyFont="1" applyFill="1" applyBorder="1"/>
    <xf numFmtId="0" fontId="1" fillId="5" borderId="0" xfId="0" applyFont="1" applyFill="1"/>
    <xf numFmtId="14" fontId="1" fillId="0" borderId="1" xfId="0" applyNumberFormat="1" applyFont="1" applyBorder="1"/>
    <xf numFmtId="14" fontId="1" fillId="0" borderId="3" xfId="0" applyNumberFormat="1" applyFont="1" applyBorder="1"/>
    <xf numFmtId="14" fontId="1" fillId="0" borderId="0" xfId="0" applyNumberFormat="1" applyFont="1"/>
    <xf numFmtId="14" fontId="1" fillId="5" borderId="1" xfId="0" applyNumberFormat="1" applyFont="1" applyFill="1" applyBorder="1"/>
    <xf numFmtId="0" fontId="1" fillId="5" borderId="1" xfId="0" applyFont="1" applyFill="1" applyBorder="1"/>
    <xf numFmtId="0" fontId="1" fillId="3" borderId="1" xfId="0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0" fontId="1" fillId="3" borderId="3" xfId="0" applyFont="1" applyFill="1" applyBorder="1"/>
    <xf numFmtId="49" fontId="1" fillId="3" borderId="3" xfId="0" applyNumberFormat="1" applyFont="1" applyFill="1" applyBorder="1"/>
    <xf numFmtId="49" fontId="1" fillId="3" borderId="3" xfId="0" applyNumberFormat="1" applyFont="1" applyFill="1" applyBorder="1" applyAlignment="1">
      <alignment horizontal="center"/>
    </xf>
    <xf numFmtId="164" fontId="1" fillId="3" borderId="3" xfId="0" applyNumberFormat="1" applyFont="1" applyFill="1" applyBorder="1"/>
    <xf numFmtId="8" fontId="1" fillId="3" borderId="3" xfId="0" applyNumberFormat="1" applyFont="1" applyFill="1" applyBorder="1"/>
    <xf numFmtId="0" fontId="1" fillId="6" borderId="3" xfId="0" applyFont="1" applyFill="1" applyBorder="1"/>
    <xf numFmtId="49" fontId="1" fillId="6" borderId="3" xfId="0" applyNumberFormat="1" applyFont="1" applyFill="1" applyBorder="1"/>
    <xf numFmtId="49" fontId="1" fillId="6" borderId="3" xfId="0" applyNumberFormat="1" applyFont="1" applyFill="1" applyBorder="1" applyAlignment="1">
      <alignment horizontal="center"/>
    </xf>
    <xf numFmtId="164" fontId="1" fillId="6" borderId="3" xfId="0" applyNumberFormat="1" applyFont="1" applyFill="1" applyBorder="1"/>
    <xf numFmtId="8" fontId="1" fillId="6" borderId="3" xfId="0" applyNumberFormat="1" applyFont="1" applyFill="1" applyBorder="1"/>
    <xf numFmtId="8" fontId="2" fillId="0" borderId="0" xfId="0" applyNumberFormat="1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DDD71-167B-4AE8-A6A5-F547D8D69335}">
  <dimension ref="A1:S302"/>
  <sheetViews>
    <sheetView tabSelected="1" zoomScale="98" zoomScaleNormal="98" workbookViewId="0">
      <pane ySplit="2" topLeftCell="A250" activePane="bottomLeft" state="frozen"/>
      <selection pane="bottomLeft" activeCell="D287" sqref="D287"/>
    </sheetView>
  </sheetViews>
  <sheetFormatPr defaultColWidth="9.140625" defaultRowHeight="13.5" x14ac:dyDescent="0.25"/>
  <cols>
    <col min="1" max="1" width="28.7109375" style="1" customWidth="1"/>
    <col min="2" max="2" width="13" style="2" customWidth="1"/>
    <col min="3" max="3" width="12.85546875" style="2" bestFit="1" customWidth="1"/>
    <col min="4" max="4" width="12.85546875" style="6" customWidth="1"/>
    <col min="5" max="5" width="10.42578125" style="6" customWidth="1"/>
    <col min="6" max="6" width="11.7109375" style="3" bestFit="1" customWidth="1"/>
    <col min="7" max="7" width="11.85546875" style="3" customWidth="1"/>
    <col min="8" max="8" width="17.42578125" style="4" customWidth="1"/>
    <col min="9" max="9" width="17.42578125" style="1" customWidth="1"/>
    <col min="10" max="10" width="17.42578125" style="8" hidden="1" customWidth="1"/>
    <col min="11" max="11" width="19.7109375" style="8" hidden="1" customWidth="1"/>
    <col min="12" max="12" width="10.85546875" style="8" hidden="1" customWidth="1"/>
    <col min="13" max="13" width="12.42578125" style="8" hidden="1" customWidth="1"/>
    <col min="14" max="14" width="17.42578125" style="8" hidden="1" customWidth="1"/>
    <col min="15" max="15" width="12.140625" style="1" hidden="1" customWidth="1"/>
    <col min="16" max="16" width="0" style="1" hidden="1" customWidth="1"/>
    <col min="17" max="17" width="0" style="21" hidden="1" customWidth="1"/>
    <col min="18" max="18" width="18.28515625" style="24" customWidth="1"/>
    <col min="19" max="19" width="9.140625" style="24"/>
    <col min="20" max="16384" width="9.140625" style="1"/>
  </cols>
  <sheetData>
    <row r="1" spans="1:19" x14ac:dyDescent="0.25">
      <c r="A1" s="24" t="s">
        <v>564</v>
      </c>
    </row>
    <row r="2" spans="1:19" s="15" customFormat="1" ht="37.15" customHeight="1" x14ac:dyDescent="0.25">
      <c r="A2" s="10" t="s">
        <v>511</v>
      </c>
      <c r="B2" s="11" t="s">
        <v>0</v>
      </c>
      <c r="C2" s="11" t="s">
        <v>1</v>
      </c>
      <c r="D2" s="11" t="s">
        <v>380</v>
      </c>
      <c r="E2" s="11" t="s">
        <v>383</v>
      </c>
      <c r="F2" s="12" t="s">
        <v>2</v>
      </c>
      <c r="G2" s="12" t="s">
        <v>3</v>
      </c>
      <c r="H2" s="25" t="s">
        <v>609</v>
      </c>
      <c r="I2" s="13" t="s">
        <v>384</v>
      </c>
      <c r="J2" s="14" t="s">
        <v>407</v>
      </c>
      <c r="K2" s="14" t="s">
        <v>434</v>
      </c>
      <c r="L2" s="14" t="s">
        <v>585</v>
      </c>
      <c r="M2" s="14" t="s">
        <v>586</v>
      </c>
      <c r="N2" s="14" t="s">
        <v>433</v>
      </c>
      <c r="O2" s="13" t="s">
        <v>385</v>
      </c>
      <c r="P2" s="13" t="s">
        <v>386</v>
      </c>
      <c r="Q2" s="22"/>
      <c r="R2" s="15" t="s">
        <v>662</v>
      </c>
      <c r="S2" s="15" t="s">
        <v>663</v>
      </c>
    </row>
    <row r="3" spans="1:19" x14ac:dyDescent="0.25">
      <c r="A3" s="44" t="s">
        <v>4</v>
      </c>
      <c r="B3" s="45" t="s">
        <v>5</v>
      </c>
      <c r="C3" s="45" t="s">
        <v>6</v>
      </c>
      <c r="D3" s="46" t="s">
        <v>381</v>
      </c>
      <c r="E3" s="46"/>
      <c r="F3" s="47">
        <v>45811</v>
      </c>
      <c r="G3" s="47">
        <v>45811</v>
      </c>
      <c r="H3" s="48">
        <v>-85</v>
      </c>
      <c r="I3" s="48">
        <f>SUM(H3)</f>
        <v>-85</v>
      </c>
      <c r="J3" s="50"/>
      <c r="K3" s="50" t="s">
        <v>435</v>
      </c>
      <c r="L3" s="50"/>
      <c r="M3" s="50"/>
      <c r="N3" s="50">
        <f t="shared" ref="N3:N55" si="0">SUM(J3:L3)</f>
        <v>0</v>
      </c>
      <c r="O3" s="39"/>
      <c r="P3" s="39"/>
    </row>
    <row r="4" spans="1:19" x14ac:dyDescent="0.25">
      <c r="A4" s="29" t="s">
        <v>7</v>
      </c>
      <c r="B4" s="30" t="s">
        <v>8</v>
      </c>
      <c r="C4" s="30" t="s">
        <v>9</v>
      </c>
      <c r="D4" s="31" t="s">
        <v>387</v>
      </c>
      <c r="E4" s="31" t="s">
        <v>382</v>
      </c>
      <c r="F4" s="32">
        <v>45874</v>
      </c>
      <c r="G4" s="32">
        <v>45917</v>
      </c>
      <c r="H4" s="20">
        <v>1706</v>
      </c>
      <c r="J4" s="8">
        <v>1706</v>
      </c>
      <c r="K4" s="8">
        <v>0</v>
      </c>
      <c r="N4" s="8">
        <f t="shared" si="0"/>
        <v>1706</v>
      </c>
    </row>
    <row r="5" spans="1:19" x14ac:dyDescent="0.25">
      <c r="A5" s="29" t="s">
        <v>7</v>
      </c>
      <c r="B5" s="30" t="s">
        <v>8</v>
      </c>
      <c r="C5" s="30" t="s">
        <v>10</v>
      </c>
      <c r="D5" s="31" t="s">
        <v>388</v>
      </c>
      <c r="E5" s="31" t="s">
        <v>382</v>
      </c>
      <c r="F5" s="32">
        <v>45874</v>
      </c>
      <c r="G5" s="32">
        <v>45917</v>
      </c>
      <c r="H5" s="20">
        <v>735</v>
      </c>
      <c r="J5" s="8">
        <v>735</v>
      </c>
      <c r="K5" s="8">
        <v>0</v>
      </c>
      <c r="N5" s="8">
        <f t="shared" si="0"/>
        <v>735</v>
      </c>
    </row>
    <row r="6" spans="1:19" x14ac:dyDescent="0.25">
      <c r="A6" s="29" t="s">
        <v>7</v>
      </c>
      <c r="B6" s="30" t="s">
        <v>8</v>
      </c>
      <c r="C6" s="30" t="s">
        <v>11</v>
      </c>
      <c r="D6" s="31" t="s">
        <v>389</v>
      </c>
      <c r="E6" s="31" t="s">
        <v>382</v>
      </c>
      <c r="F6" s="32">
        <v>45884</v>
      </c>
      <c r="G6" s="32">
        <v>45931</v>
      </c>
      <c r="H6" s="20">
        <v>16166</v>
      </c>
      <c r="J6" s="8">
        <v>16166</v>
      </c>
      <c r="K6" s="8">
        <v>0</v>
      </c>
      <c r="N6" s="8">
        <f t="shared" si="0"/>
        <v>16166</v>
      </c>
    </row>
    <row r="7" spans="1:19" x14ac:dyDescent="0.25">
      <c r="A7" s="29" t="s">
        <v>7</v>
      </c>
      <c r="B7" s="30" t="s">
        <v>8</v>
      </c>
      <c r="C7" s="30" t="s">
        <v>12</v>
      </c>
      <c r="D7" s="31" t="s">
        <v>390</v>
      </c>
      <c r="E7" s="31" t="s">
        <v>382</v>
      </c>
      <c r="F7" s="32">
        <v>45884</v>
      </c>
      <c r="G7" s="32">
        <v>45931</v>
      </c>
      <c r="H7" s="20">
        <v>4523</v>
      </c>
      <c r="J7" s="8">
        <v>4523</v>
      </c>
      <c r="K7" s="8">
        <v>0</v>
      </c>
      <c r="N7" s="8">
        <f t="shared" si="0"/>
        <v>4523</v>
      </c>
    </row>
    <row r="8" spans="1:19" x14ac:dyDescent="0.25">
      <c r="A8" s="29" t="s">
        <v>7</v>
      </c>
      <c r="B8" s="30" t="s">
        <v>8</v>
      </c>
      <c r="C8" s="30" t="s">
        <v>13</v>
      </c>
      <c r="D8" s="31" t="s">
        <v>391</v>
      </c>
      <c r="E8" s="31" t="s">
        <v>382</v>
      </c>
      <c r="F8" s="32">
        <v>45889</v>
      </c>
      <c r="G8" s="32">
        <v>45931</v>
      </c>
      <c r="H8" s="20">
        <v>555</v>
      </c>
      <c r="J8" s="8">
        <v>555</v>
      </c>
      <c r="K8" s="8">
        <v>0</v>
      </c>
      <c r="N8" s="8">
        <f t="shared" si="0"/>
        <v>555</v>
      </c>
    </row>
    <row r="9" spans="1:19" x14ac:dyDescent="0.25">
      <c r="A9" s="29" t="s">
        <v>7</v>
      </c>
      <c r="B9" s="30" t="s">
        <v>8</v>
      </c>
      <c r="C9" s="30" t="s">
        <v>14</v>
      </c>
      <c r="D9" s="31" t="s">
        <v>392</v>
      </c>
      <c r="E9" s="31" t="s">
        <v>382</v>
      </c>
      <c r="F9" s="32">
        <v>45889</v>
      </c>
      <c r="G9" s="32">
        <v>45931</v>
      </c>
      <c r="H9" s="20">
        <v>4957</v>
      </c>
      <c r="J9" s="8">
        <v>4957</v>
      </c>
      <c r="K9" s="8">
        <v>0</v>
      </c>
      <c r="N9" s="8">
        <f t="shared" si="0"/>
        <v>4957</v>
      </c>
    </row>
    <row r="10" spans="1:19" x14ac:dyDescent="0.25">
      <c r="A10" s="29" t="s">
        <v>7</v>
      </c>
      <c r="B10" s="30" t="s">
        <v>8</v>
      </c>
      <c r="C10" s="30" t="s">
        <v>15</v>
      </c>
      <c r="D10" s="31" t="s">
        <v>393</v>
      </c>
      <c r="E10" s="31" t="s">
        <v>382</v>
      </c>
      <c r="F10" s="32">
        <v>45889</v>
      </c>
      <c r="G10" s="32">
        <v>45931</v>
      </c>
      <c r="H10" s="20">
        <v>23094</v>
      </c>
      <c r="J10" s="8">
        <v>23094</v>
      </c>
      <c r="K10" s="8">
        <v>0</v>
      </c>
      <c r="N10" s="8">
        <f t="shared" si="0"/>
        <v>23094</v>
      </c>
    </row>
    <row r="11" spans="1:19" x14ac:dyDescent="0.25">
      <c r="A11" s="29" t="s">
        <v>7</v>
      </c>
      <c r="B11" s="30" t="s">
        <v>8</v>
      </c>
      <c r="C11" s="30" t="s">
        <v>16</v>
      </c>
      <c r="D11" s="31" t="s">
        <v>394</v>
      </c>
      <c r="E11" s="31" t="s">
        <v>382</v>
      </c>
      <c r="F11" s="32">
        <v>45897</v>
      </c>
      <c r="G11" s="32">
        <v>45938</v>
      </c>
      <c r="H11" s="20">
        <v>351</v>
      </c>
      <c r="J11" s="8">
        <v>351</v>
      </c>
      <c r="K11" s="8">
        <v>0</v>
      </c>
      <c r="N11" s="8">
        <f t="shared" si="0"/>
        <v>351</v>
      </c>
    </row>
    <row r="12" spans="1:19" x14ac:dyDescent="0.25">
      <c r="A12" s="29" t="s">
        <v>7</v>
      </c>
      <c r="B12" s="30" t="s">
        <v>8</v>
      </c>
      <c r="C12" s="30" t="s">
        <v>17</v>
      </c>
      <c r="D12" s="31" t="s">
        <v>395</v>
      </c>
      <c r="E12" s="31" t="s">
        <v>382</v>
      </c>
      <c r="F12" s="32">
        <v>45897</v>
      </c>
      <c r="G12" s="32">
        <v>45938</v>
      </c>
      <c r="H12" s="20">
        <v>4282</v>
      </c>
      <c r="J12" s="8">
        <v>4282</v>
      </c>
      <c r="K12" s="8">
        <v>0</v>
      </c>
      <c r="N12" s="8">
        <f t="shared" si="0"/>
        <v>4282</v>
      </c>
    </row>
    <row r="13" spans="1:19" x14ac:dyDescent="0.25">
      <c r="A13" s="60" t="s">
        <v>7</v>
      </c>
      <c r="B13" s="61" t="s">
        <v>8</v>
      </c>
      <c r="C13" s="61" t="s">
        <v>18</v>
      </c>
      <c r="D13" s="62" t="s">
        <v>396</v>
      </c>
      <c r="E13" s="62" t="s">
        <v>382</v>
      </c>
      <c r="F13" s="63">
        <v>45897</v>
      </c>
      <c r="G13" s="63">
        <v>45938</v>
      </c>
      <c r="H13" s="27">
        <v>1034</v>
      </c>
      <c r="I13" s="51">
        <f>SUM(H4:H13)</f>
        <v>57403</v>
      </c>
      <c r="J13" s="28">
        <v>1034</v>
      </c>
      <c r="K13" s="28">
        <v>0</v>
      </c>
      <c r="L13" s="28"/>
      <c r="M13" s="28"/>
      <c r="N13" s="28">
        <f t="shared" si="0"/>
        <v>1034</v>
      </c>
      <c r="O13" s="55">
        <v>45938</v>
      </c>
      <c r="P13" s="26">
        <v>346474</v>
      </c>
      <c r="R13" s="24">
        <v>1077141</v>
      </c>
      <c r="S13" s="24" t="s">
        <v>664</v>
      </c>
    </row>
    <row r="14" spans="1:19" x14ac:dyDescent="0.25">
      <c r="A14" s="29" t="s">
        <v>19</v>
      </c>
      <c r="B14" s="30" t="s">
        <v>20</v>
      </c>
      <c r="C14" s="30" t="s">
        <v>21</v>
      </c>
      <c r="D14" s="31" t="s">
        <v>397</v>
      </c>
      <c r="E14" s="31" t="s">
        <v>382</v>
      </c>
      <c r="F14" s="32">
        <v>45896</v>
      </c>
      <c r="G14" s="32">
        <v>45917</v>
      </c>
      <c r="H14" s="20">
        <v>276.36</v>
      </c>
      <c r="J14" s="8">
        <v>276.36</v>
      </c>
      <c r="K14" s="8">
        <v>0</v>
      </c>
      <c r="N14" s="8">
        <f t="shared" si="0"/>
        <v>276.36</v>
      </c>
    </row>
    <row r="15" spans="1:19" x14ac:dyDescent="0.25">
      <c r="A15" s="29" t="s">
        <v>19</v>
      </c>
      <c r="B15" s="30" t="s">
        <v>20</v>
      </c>
      <c r="C15" s="30" t="s">
        <v>22</v>
      </c>
      <c r="D15" s="31" t="s">
        <v>398</v>
      </c>
      <c r="E15" s="31" t="s">
        <v>382</v>
      </c>
      <c r="F15" s="32">
        <v>45896</v>
      </c>
      <c r="G15" s="32">
        <v>45917</v>
      </c>
      <c r="H15" s="20">
        <v>564.48</v>
      </c>
      <c r="J15" s="8">
        <v>564.48</v>
      </c>
      <c r="K15" s="8">
        <v>0</v>
      </c>
      <c r="N15" s="8">
        <f t="shared" si="0"/>
        <v>564.48</v>
      </c>
    </row>
    <row r="16" spans="1:19" x14ac:dyDescent="0.25">
      <c r="A16" s="60" t="s">
        <v>19</v>
      </c>
      <c r="B16" s="61" t="s">
        <v>20</v>
      </c>
      <c r="C16" s="61" t="s">
        <v>23</v>
      </c>
      <c r="D16" s="62" t="s">
        <v>399</v>
      </c>
      <c r="E16" s="62" t="s">
        <v>382</v>
      </c>
      <c r="F16" s="63">
        <v>45896</v>
      </c>
      <c r="G16" s="63">
        <v>45917</v>
      </c>
      <c r="H16" s="27">
        <v>970.2</v>
      </c>
      <c r="I16" s="51">
        <f>SUM(H14:H16)</f>
        <v>1811.04</v>
      </c>
      <c r="J16" s="28">
        <v>970.2</v>
      </c>
      <c r="K16" s="28">
        <v>0</v>
      </c>
      <c r="L16" s="28"/>
      <c r="M16" s="28"/>
      <c r="N16" s="28">
        <f t="shared" si="0"/>
        <v>970.2</v>
      </c>
      <c r="O16" s="55">
        <v>45938</v>
      </c>
      <c r="P16" s="26">
        <v>346475</v>
      </c>
      <c r="R16" s="24">
        <v>1077142</v>
      </c>
      <c r="S16" s="24" t="s">
        <v>664</v>
      </c>
    </row>
    <row r="17" spans="1:19" x14ac:dyDescent="0.25">
      <c r="A17" s="29" t="s">
        <v>656</v>
      </c>
      <c r="B17" s="30" t="s">
        <v>24</v>
      </c>
      <c r="C17" s="30" t="s">
        <v>25</v>
      </c>
      <c r="D17" s="31" t="s">
        <v>400</v>
      </c>
      <c r="E17" s="31" t="s">
        <v>382</v>
      </c>
      <c r="F17" s="32">
        <v>45895</v>
      </c>
      <c r="G17" s="32">
        <v>45917</v>
      </c>
      <c r="H17" s="20">
        <v>735.3</v>
      </c>
      <c r="J17" s="8">
        <v>661.44</v>
      </c>
      <c r="K17" s="8">
        <v>73.86</v>
      </c>
      <c r="N17" s="8">
        <f t="shared" si="0"/>
        <v>735.30000000000007</v>
      </c>
    </row>
    <row r="18" spans="1:19" x14ac:dyDescent="0.25">
      <c r="A18" s="29" t="s">
        <v>656</v>
      </c>
      <c r="B18" s="30" t="s">
        <v>24</v>
      </c>
      <c r="C18" s="30" t="s">
        <v>26</v>
      </c>
      <c r="D18" s="31" t="s">
        <v>401</v>
      </c>
      <c r="E18" s="31" t="s">
        <v>382</v>
      </c>
      <c r="F18" s="32">
        <v>45895</v>
      </c>
      <c r="G18" s="32">
        <v>45917</v>
      </c>
      <c r="H18" s="20">
        <v>1698.98</v>
      </c>
      <c r="J18" s="8">
        <v>1528.32</v>
      </c>
      <c r="K18" s="8">
        <v>170.66</v>
      </c>
      <c r="N18" s="8">
        <f t="shared" si="0"/>
        <v>1698.98</v>
      </c>
    </row>
    <row r="19" spans="1:19" x14ac:dyDescent="0.25">
      <c r="A19" s="29" t="s">
        <v>656</v>
      </c>
      <c r="B19" s="30" t="s">
        <v>24</v>
      </c>
      <c r="C19" s="30" t="s">
        <v>27</v>
      </c>
      <c r="D19" s="31" t="s">
        <v>402</v>
      </c>
      <c r="E19" s="31" t="s">
        <v>382</v>
      </c>
      <c r="F19" s="32">
        <v>45895</v>
      </c>
      <c r="G19" s="32">
        <v>45917</v>
      </c>
      <c r="H19" s="20">
        <v>808.93</v>
      </c>
      <c r="J19" s="8">
        <v>727.68</v>
      </c>
      <c r="K19" s="8">
        <v>81.25</v>
      </c>
      <c r="N19" s="8">
        <f t="shared" si="0"/>
        <v>808.93</v>
      </c>
    </row>
    <row r="20" spans="1:19" x14ac:dyDescent="0.25">
      <c r="A20" s="29" t="s">
        <v>656</v>
      </c>
      <c r="B20" s="30" t="s">
        <v>24</v>
      </c>
      <c r="C20" s="30" t="s">
        <v>28</v>
      </c>
      <c r="D20" s="31" t="s">
        <v>403</v>
      </c>
      <c r="E20" s="31" t="s">
        <v>382</v>
      </c>
      <c r="F20" s="32">
        <v>45895</v>
      </c>
      <c r="G20" s="32">
        <v>45917</v>
      </c>
      <c r="H20" s="20">
        <v>1949.81</v>
      </c>
      <c r="J20" s="8">
        <v>1731.45</v>
      </c>
      <c r="K20" s="8">
        <v>218.36</v>
      </c>
      <c r="N20" s="8">
        <f t="shared" si="0"/>
        <v>1949.81</v>
      </c>
    </row>
    <row r="21" spans="1:19" x14ac:dyDescent="0.25">
      <c r="A21" s="29" t="s">
        <v>656</v>
      </c>
      <c r="B21" s="30" t="s">
        <v>24</v>
      </c>
      <c r="C21" s="30" t="s">
        <v>29</v>
      </c>
      <c r="D21" s="31" t="s">
        <v>404</v>
      </c>
      <c r="E21" s="31" t="s">
        <v>382</v>
      </c>
      <c r="F21" s="32">
        <v>45895</v>
      </c>
      <c r="G21" s="32">
        <v>45917</v>
      </c>
      <c r="H21" s="20">
        <v>3378.91</v>
      </c>
      <c r="J21" s="8">
        <v>3000.5</v>
      </c>
      <c r="K21" s="8">
        <v>378.41</v>
      </c>
      <c r="N21" s="8">
        <f t="shared" si="0"/>
        <v>3378.91</v>
      </c>
    </row>
    <row r="22" spans="1:19" x14ac:dyDescent="0.25">
      <c r="A22" s="29" t="s">
        <v>656</v>
      </c>
      <c r="B22" s="30" t="s">
        <v>24</v>
      </c>
      <c r="C22" s="30" t="s">
        <v>30</v>
      </c>
      <c r="D22" s="31" t="s">
        <v>405</v>
      </c>
      <c r="E22" s="31" t="s">
        <v>382</v>
      </c>
      <c r="F22" s="32">
        <v>45895</v>
      </c>
      <c r="G22" s="32">
        <v>45917</v>
      </c>
      <c r="H22" s="20">
        <v>1780.39</v>
      </c>
      <c r="J22" s="8">
        <v>1581</v>
      </c>
      <c r="K22" s="8">
        <v>199.39</v>
      </c>
      <c r="N22" s="8">
        <f t="shared" si="0"/>
        <v>1780.3899999999999</v>
      </c>
    </row>
    <row r="23" spans="1:19" x14ac:dyDescent="0.25">
      <c r="A23" s="29" t="s">
        <v>656</v>
      </c>
      <c r="B23" s="30" t="s">
        <v>24</v>
      </c>
      <c r="C23" s="30" t="s">
        <v>31</v>
      </c>
      <c r="D23" s="31" t="s">
        <v>406</v>
      </c>
      <c r="E23" s="31" t="s">
        <v>382</v>
      </c>
      <c r="F23" s="32">
        <v>45895</v>
      </c>
      <c r="G23" s="32">
        <v>45917</v>
      </c>
      <c r="H23" s="20">
        <v>3193.21</v>
      </c>
      <c r="J23" s="8">
        <v>2835.6</v>
      </c>
      <c r="K23" s="8">
        <v>357.61</v>
      </c>
      <c r="N23" s="8">
        <f t="shared" si="0"/>
        <v>3193.21</v>
      </c>
    </row>
    <row r="24" spans="1:19" x14ac:dyDescent="0.25">
      <c r="A24" s="29" t="s">
        <v>656</v>
      </c>
      <c r="B24" s="30" t="s">
        <v>24</v>
      </c>
      <c r="C24" s="30" t="s">
        <v>32</v>
      </c>
      <c r="D24" s="31" t="s">
        <v>408</v>
      </c>
      <c r="E24" s="31" t="s">
        <v>382</v>
      </c>
      <c r="F24" s="32">
        <v>45895</v>
      </c>
      <c r="G24" s="32">
        <v>45917</v>
      </c>
      <c r="H24" s="20">
        <v>701.62</v>
      </c>
      <c r="J24" s="8">
        <v>623.04999999999995</v>
      </c>
      <c r="K24" s="8">
        <v>78.569999999999993</v>
      </c>
      <c r="N24" s="8">
        <f t="shared" si="0"/>
        <v>701.61999999999989</v>
      </c>
    </row>
    <row r="25" spans="1:19" x14ac:dyDescent="0.25">
      <c r="A25" s="29" t="s">
        <v>656</v>
      </c>
      <c r="B25" s="30" t="s">
        <v>24</v>
      </c>
      <c r="C25" s="30" t="s">
        <v>33</v>
      </c>
      <c r="D25" s="31" t="s">
        <v>409</v>
      </c>
      <c r="E25" s="31" t="s">
        <v>382</v>
      </c>
      <c r="F25" s="32">
        <v>45903</v>
      </c>
      <c r="G25" s="32">
        <v>45924</v>
      </c>
      <c r="H25" s="20">
        <v>4935</v>
      </c>
      <c r="J25" s="8">
        <v>4440</v>
      </c>
      <c r="K25" s="8">
        <v>495</v>
      </c>
      <c r="N25" s="8">
        <f t="shared" si="0"/>
        <v>4935</v>
      </c>
    </row>
    <row r="26" spans="1:19" x14ac:dyDescent="0.25">
      <c r="A26" s="60" t="s">
        <v>656</v>
      </c>
      <c r="B26" s="61" t="s">
        <v>24</v>
      </c>
      <c r="C26" s="61" t="s">
        <v>34</v>
      </c>
      <c r="D26" s="62" t="s">
        <v>410</v>
      </c>
      <c r="E26" s="62" t="s">
        <v>382</v>
      </c>
      <c r="F26" s="63">
        <v>45903</v>
      </c>
      <c r="G26" s="63">
        <v>45924</v>
      </c>
      <c r="H26" s="27">
        <v>1066.1300000000001</v>
      </c>
      <c r="I26" s="51">
        <f>SUM(H17:H26)</f>
        <v>20248.280000000002</v>
      </c>
      <c r="J26" s="28">
        <v>959.04</v>
      </c>
      <c r="K26" s="28">
        <v>107.09</v>
      </c>
      <c r="L26" s="28"/>
      <c r="M26" s="28"/>
      <c r="N26" s="28">
        <f t="shared" si="0"/>
        <v>1066.1299999999999</v>
      </c>
      <c r="O26" s="55">
        <v>45938</v>
      </c>
      <c r="P26" s="26">
        <v>346484</v>
      </c>
      <c r="R26" s="24">
        <v>1077143</v>
      </c>
      <c r="S26" s="24" t="s">
        <v>664</v>
      </c>
    </row>
    <row r="27" spans="1:19" x14ac:dyDescent="0.25">
      <c r="A27" s="29" t="s">
        <v>35</v>
      </c>
      <c r="B27" s="30" t="s">
        <v>36</v>
      </c>
      <c r="C27" s="30" t="s">
        <v>37</v>
      </c>
      <c r="D27" s="31" t="s">
        <v>411</v>
      </c>
      <c r="E27" s="31" t="s">
        <v>382</v>
      </c>
      <c r="F27" s="32">
        <v>45895</v>
      </c>
      <c r="G27" s="32">
        <v>45917</v>
      </c>
      <c r="H27" s="20">
        <v>2190.96</v>
      </c>
      <c r="J27" s="8">
        <v>1970.88</v>
      </c>
      <c r="K27" s="8">
        <v>220.08</v>
      </c>
      <c r="N27" s="8">
        <f t="shared" si="0"/>
        <v>2190.96</v>
      </c>
    </row>
    <row r="28" spans="1:19" x14ac:dyDescent="0.25">
      <c r="A28" s="29" t="s">
        <v>35</v>
      </c>
      <c r="B28" s="30" t="s">
        <v>36</v>
      </c>
      <c r="C28" s="30" t="s">
        <v>38</v>
      </c>
      <c r="D28" s="31" t="s">
        <v>412</v>
      </c>
      <c r="E28" s="31" t="s">
        <v>382</v>
      </c>
      <c r="F28" s="32">
        <v>45895</v>
      </c>
      <c r="G28" s="32">
        <v>45917</v>
      </c>
      <c r="H28" s="20">
        <v>917.79</v>
      </c>
      <c r="J28" s="8">
        <v>825.6</v>
      </c>
      <c r="K28" s="8">
        <v>92.19</v>
      </c>
      <c r="N28" s="8">
        <f t="shared" si="0"/>
        <v>917.79</v>
      </c>
    </row>
    <row r="29" spans="1:19" x14ac:dyDescent="0.25">
      <c r="A29" s="29" t="s">
        <v>35</v>
      </c>
      <c r="B29" s="30" t="s">
        <v>36</v>
      </c>
      <c r="C29" s="30" t="s">
        <v>39</v>
      </c>
      <c r="D29" s="31" t="s">
        <v>413</v>
      </c>
      <c r="E29" s="31" t="s">
        <v>382</v>
      </c>
      <c r="F29" s="32">
        <v>45895</v>
      </c>
      <c r="G29" s="32">
        <v>45917</v>
      </c>
      <c r="H29" s="20">
        <v>557.07000000000005</v>
      </c>
      <c r="J29" s="8">
        <v>501.12</v>
      </c>
      <c r="K29" s="8">
        <v>55.95</v>
      </c>
      <c r="N29" s="8">
        <f t="shared" si="0"/>
        <v>557.07000000000005</v>
      </c>
    </row>
    <row r="30" spans="1:19" x14ac:dyDescent="0.25">
      <c r="A30" s="29" t="s">
        <v>35</v>
      </c>
      <c r="B30" s="30" t="s">
        <v>36</v>
      </c>
      <c r="C30" s="30" t="s">
        <v>40</v>
      </c>
      <c r="D30" s="31" t="s">
        <v>414</v>
      </c>
      <c r="E30" s="31" t="s">
        <v>382</v>
      </c>
      <c r="F30" s="32">
        <v>45895</v>
      </c>
      <c r="G30" s="32">
        <v>45917</v>
      </c>
      <c r="H30" s="20">
        <v>485.57</v>
      </c>
      <c r="J30" s="8">
        <v>436.8</v>
      </c>
      <c r="K30" s="8">
        <v>48.77</v>
      </c>
      <c r="N30" s="8">
        <f t="shared" si="0"/>
        <v>485.57</v>
      </c>
    </row>
    <row r="31" spans="1:19" x14ac:dyDescent="0.25">
      <c r="A31" s="29" t="s">
        <v>35</v>
      </c>
      <c r="B31" s="30" t="s">
        <v>36</v>
      </c>
      <c r="C31" s="30" t="s">
        <v>41</v>
      </c>
      <c r="D31" s="31" t="s">
        <v>415</v>
      </c>
      <c r="E31" s="31" t="s">
        <v>382</v>
      </c>
      <c r="F31" s="32">
        <v>45895</v>
      </c>
      <c r="G31" s="32">
        <v>45917</v>
      </c>
      <c r="H31" s="20">
        <v>344.7</v>
      </c>
      <c r="J31" s="8">
        <v>310.08</v>
      </c>
      <c r="K31" s="8">
        <v>34.619999999999997</v>
      </c>
      <c r="N31" s="8">
        <f t="shared" si="0"/>
        <v>344.7</v>
      </c>
    </row>
    <row r="32" spans="1:19" x14ac:dyDescent="0.25">
      <c r="A32" s="29" t="s">
        <v>35</v>
      </c>
      <c r="B32" s="30" t="s">
        <v>36</v>
      </c>
      <c r="C32" s="30" t="s">
        <v>42</v>
      </c>
      <c r="D32" s="31" t="s">
        <v>416</v>
      </c>
      <c r="E32" s="31" t="s">
        <v>382</v>
      </c>
      <c r="F32" s="32">
        <v>45895</v>
      </c>
      <c r="G32" s="32">
        <v>45917</v>
      </c>
      <c r="H32" s="20">
        <v>1018.1</v>
      </c>
      <c r="J32" s="8">
        <v>915.84</v>
      </c>
      <c r="K32" s="8">
        <v>102.26</v>
      </c>
      <c r="N32" s="8">
        <f t="shared" si="0"/>
        <v>1018.1</v>
      </c>
    </row>
    <row r="33" spans="1:14" x14ac:dyDescent="0.25">
      <c r="A33" s="29" t="s">
        <v>35</v>
      </c>
      <c r="B33" s="30" t="s">
        <v>36</v>
      </c>
      <c r="C33" s="30" t="s">
        <v>43</v>
      </c>
      <c r="D33" s="31" t="s">
        <v>417</v>
      </c>
      <c r="E33" s="31" t="s">
        <v>382</v>
      </c>
      <c r="F33" s="32">
        <v>45895</v>
      </c>
      <c r="G33" s="32">
        <v>45917</v>
      </c>
      <c r="H33" s="20">
        <v>1915.62</v>
      </c>
      <c r="J33" s="8">
        <v>1723.2</v>
      </c>
      <c r="K33" s="8">
        <v>192.42</v>
      </c>
      <c r="N33" s="8">
        <f t="shared" si="0"/>
        <v>1915.6200000000001</v>
      </c>
    </row>
    <row r="34" spans="1:14" x14ac:dyDescent="0.25">
      <c r="A34" s="29" t="s">
        <v>35</v>
      </c>
      <c r="B34" s="30" t="s">
        <v>36</v>
      </c>
      <c r="C34" s="30" t="s">
        <v>44</v>
      </c>
      <c r="D34" s="31" t="s">
        <v>418</v>
      </c>
      <c r="E34" s="31" t="s">
        <v>382</v>
      </c>
      <c r="F34" s="32">
        <v>45895</v>
      </c>
      <c r="G34" s="32">
        <v>45917</v>
      </c>
      <c r="H34" s="20">
        <v>550.66999999999996</v>
      </c>
      <c r="J34" s="8">
        <v>495.36</v>
      </c>
      <c r="K34" s="8">
        <v>55.31</v>
      </c>
      <c r="N34" s="8">
        <f t="shared" si="0"/>
        <v>550.67000000000007</v>
      </c>
    </row>
    <row r="35" spans="1:14" x14ac:dyDescent="0.25">
      <c r="A35" s="29" t="s">
        <v>35</v>
      </c>
      <c r="B35" s="30" t="s">
        <v>36</v>
      </c>
      <c r="C35" s="30" t="s">
        <v>45</v>
      </c>
      <c r="D35" s="31" t="s">
        <v>419</v>
      </c>
      <c r="E35" s="31" t="s">
        <v>382</v>
      </c>
      <c r="F35" s="32">
        <v>45895</v>
      </c>
      <c r="G35" s="32">
        <v>45917</v>
      </c>
      <c r="H35" s="20">
        <v>1791.82</v>
      </c>
      <c r="J35" s="8">
        <v>1611.84</v>
      </c>
      <c r="K35" s="8">
        <v>179.98</v>
      </c>
      <c r="N35" s="8">
        <f t="shared" si="0"/>
        <v>1791.82</v>
      </c>
    </row>
    <row r="36" spans="1:14" x14ac:dyDescent="0.25">
      <c r="A36" s="29" t="s">
        <v>35</v>
      </c>
      <c r="B36" s="30" t="s">
        <v>36</v>
      </c>
      <c r="C36" s="30" t="s">
        <v>46</v>
      </c>
      <c r="D36" s="31" t="s">
        <v>420</v>
      </c>
      <c r="E36" s="31" t="s">
        <v>382</v>
      </c>
      <c r="F36" s="32">
        <v>45895</v>
      </c>
      <c r="G36" s="32">
        <v>45917</v>
      </c>
      <c r="H36" s="20">
        <v>518.65</v>
      </c>
      <c r="J36" s="8">
        <v>466.56</v>
      </c>
      <c r="K36" s="8">
        <v>52.09</v>
      </c>
      <c r="N36" s="8">
        <f t="shared" si="0"/>
        <v>518.65</v>
      </c>
    </row>
    <row r="37" spans="1:14" x14ac:dyDescent="0.25">
      <c r="A37" s="29" t="s">
        <v>35</v>
      </c>
      <c r="B37" s="30" t="s">
        <v>36</v>
      </c>
      <c r="C37" s="30" t="s">
        <v>47</v>
      </c>
      <c r="D37" s="31" t="s">
        <v>421</v>
      </c>
      <c r="E37" s="31" t="s">
        <v>382</v>
      </c>
      <c r="F37" s="32">
        <v>45895</v>
      </c>
      <c r="G37" s="32">
        <v>45917</v>
      </c>
      <c r="H37" s="20">
        <v>706.48</v>
      </c>
      <c r="J37" s="8">
        <v>635.52</v>
      </c>
      <c r="K37" s="8">
        <v>70.959999999999994</v>
      </c>
      <c r="N37" s="8">
        <f t="shared" si="0"/>
        <v>706.48</v>
      </c>
    </row>
    <row r="38" spans="1:14" x14ac:dyDescent="0.25">
      <c r="A38" s="29" t="s">
        <v>35</v>
      </c>
      <c r="B38" s="30" t="s">
        <v>36</v>
      </c>
      <c r="C38" s="30" t="s">
        <v>48</v>
      </c>
      <c r="D38" s="31" t="s">
        <v>422</v>
      </c>
      <c r="E38" s="31" t="s">
        <v>382</v>
      </c>
      <c r="F38" s="32">
        <v>45895</v>
      </c>
      <c r="G38" s="32">
        <v>45917</v>
      </c>
      <c r="H38" s="20">
        <v>781.19</v>
      </c>
      <c r="J38" s="8">
        <v>702.72</v>
      </c>
      <c r="K38" s="8">
        <v>78.47</v>
      </c>
      <c r="N38" s="8">
        <f t="shared" si="0"/>
        <v>781.19</v>
      </c>
    </row>
    <row r="39" spans="1:14" x14ac:dyDescent="0.25">
      <c r="A39" s="29" t="s">
        <v>35</v>
      </c>
      <c r="B39" s="30" t="s">
        <v>36</v>
      </c>
      <c r="C39" s="30" t="s">
        <v>49</v>
      </c>
      <c r="D39" s="31" t="s">
        <v>423</v>
      </c>
      <c r="E39" s="31" t="s">
        <v>382</v>
      </c>
      <c r="F39" s="32">
        <v>45895</v>
      </c>
      <c r="G39" s="32">
        <v>45917</v>
      </c>
      <c r="H39" s="20">
        <v>240.12</v>
      </c>
      <c r="J39" s="8">
        <v>216</v>
      </c>
      <c r="K39" s="8">
        <v>24.12</v>
      </c>
      <c r="N39" s="8">
        <f t="shared" si="0"/>
        <v>240.12</v>
      </c>
    </row>
    <row r="40" spans="1:14" x14ac:dyDescent="0.25">
      <c r="A40" s="29" t="s">
        <v>35</v>
      </c>
      <c r="B40" s="30" t="s">
        <v>36</v>
      </c>
      <c r="C40" s="30" t="s">
        <v>50</v>
      </c>
      <c r="D40" s="31" t="s">
        <v>424</v>
      </c>
      <c r="E40" s="31" t="s">
        <v>382</v>
      </c>
      <c r="F40" s="32">
        <v>45895</v>
      </c>
      <c r="G40" s="32">
        <v>45917</v>
      </c>
      <c r="H40" s="20">
        <v>280</v>
      </c>
      <c r="J40" s="8">
        <v>250.2</v>
      </c>
      <c r="K40" s="8">
        <v>29.8</v>
      </c>
      <c r="N40" s="8">
        <f t="shared" si="0"/>
        <v>280</v>
      </c>
    </row>
    <row r="41" spans="1:14" x14ac:dyDescent="0.25">
      <c r="A41" s="29" t="s">
        <v>35</v>
      </c>
      <c r="B41" s="30" t="s">
        <v>36</v>
      </c>
      <c r="C41" s="30" t="s">
        <v>51</v>
      </c>
      <c r="D41" s="31" t="s">
        <v>425</v>
      </c>
      <c r="E41" s="31" t="s">
        <v>382</v>
      </c>
      <c r="F41" s="32">
        <v>45895</v>
      </c>
      <c r="G41" s="32">
        <v>45917</v>
      </c>
      <c r="H41" s="20">
        <v>2320.09</v>
      </c>
      <c r="J41" s="8">
        <v>2087.04</v>
      </c>
      <c r="K41" s="8">
        <v>233.05</v>
      </c>
      <c r="N41" s="8">
        <f t="shared" si="0"/>
        <v>2320.09</v>
      </c>
    </row>
    <row r="42" spans="1:14" x14ac:dyDescent="0.25">
      <c r="A42" s="29" t="s">
        <v>35</v>
      </c>
      <c r="B42" s="30" t="s">
        <v>36</v>
      </c>
      <c r="C42" s="30" t="s">
        <v>52</v>
      </c>
      <c r="D42" s="31" t="s">
        <v>426</v>
      </c>
      <c r="E42" s="31" t="s">
        <v>382</v>
      </c>
      <c r="F42" s="32">
        <v>45895</v>
      </c>
      <c r="G42" s="32">
        <v>45917</v>
      </c>
      <c r="H42" s="20">
        <v>2001</v>
      </c>
      <c r="J42" s="8">
        <v>1800</v>
      </c>
      <c r="K42" s="8">
        <v>201</v>
      </c>
      <c r="N42" s="8">
        <f t="shared" si="0"/>
        <v>2001</v>
      </c>
    </row>
    <row r="43" spans="1:14" x14ac:dyDescent="0.25">
      <c r="A43" s="29" t="s">
        <v>35</v>
      </c>
      <c r="B43" s="30" t="s">
        <v>36</v>
      </c>
      <c r="C43" s="30" t="s">
        <v>53</v>
      </c>
      <c r="D43" s="31" t="s">
        <v>427</v>
      </c>
      <c r="E43" s="31" t="s">
        <v>382</v>
      </c>
      <c r="F43" s="32">
        <v>45895</v>
      </c>
      <c r="G43" s="32">
        <v>45917</v>
      </c>
      <c r="H43" s="20">
        <v>2546.33</v>
      </c>
      <c r="J43" s="8">
        <v>2290.56</v>
      </c>
      <c r="K43" s="8">
        <v>255.77</v>
      </c>
      <c r="N43" s="8">
        <f t="shared" si="0"/>
        <v>2546.33</v>
      </c>
    </row>
    <row r="44" spans="1:14" x14ac:dyDescent="0.25">
      <c r="A44" s="29" t="s">
        <v>35</v>
      </c>
      <c r="B44" s="30" t="s">
        <v>36</v>
      </c>
      <c r="C44" s="30" t="s">
        <v>54</v>
      </c>
      <c r="D44" s="31" t="s">
        <v>428</v>
      </c>
      <c r="E44" s="31" t="s">
        <v>382</v>
      </c>
      <c r="F44" s="32">
        <v>45903</v>
      </c>
      <c r="G44" s="32">
        <v>45924</v>
      </c>
      <c r="H44" s="20">
        <v>1467.4</v>
      </c>
      <c r="J44" s="8">
        <v>1320</v>
      </c>
      <c r="K44" s="8">
        <v>147.4</v>
      </c>
      <c r="N44" s="8">
        <f t="shared" si="0"/>
        <v>1467.4</v>
      </c>
    </row>
    <row r="45" spans="1:14" x14ac:dyDescent="0.25">
      <c r="A45" s="29" t="s">
        <v>35</v>
      </c>
      <c r="B45" s="30" t="s">
        <v>36</v>
      </c>
      <c r="C45" s="30" t="s">
        <v>55</v>
      </c>
      <c r="D45" s="31" t="s">
        <v>429</v>
      </c>
      <c r="E45" s="31" t="s">
        <v>382</v>
      </c>
      <c r="F45" s="32">
        <v>45903</v>
      </c>
      <c r="G45" s="32">
        <v>45924</v>
      </c>
      <c r="H45" s="20">
        <v>490.91</v>
      </c>
      <c r="J45" s="8">
        <v>441.6</v>
      </c>
      <c r="K45" s="8">
        <v>49.31</v>
      </c>
      <c r="N45" s="8">
        <f t="shared" si="0"/>
        <v>490.91</v>
      </c>
    </row>
    <row r="46" spans="1:14" x14ac:dyDescent="0.25">
      <c r="A46" s="29" t="s">
        <v>35</v>
      </c>
      <c r="B46" s="30" t="s">
        <v>36</v>
      </c>
      <c r="C46" s="30" t="s">
        <v>56</v>
      </c>
      <c r="D46" s="31" t="s">
        <v>430</v>
      </c>
      <c r="E46" s="31" t="s">
        <v>382</v>
      </c>
      <c r="F46" s="32">
        <v>45903</v>
      </c>
      <c r="G46" s="32">
        <v>45924</v>
      </c>
      <c r="H46" s="20">
        <v>773.72</v>
      </c>
      <c r="J46" s="8">
        <v>696</v>
      </c>
      <c r="K46" s="8">
        <v>77.72</v>
      </c>
      <c r="N46" s="8">
        <f t="shared" si="0"/>
        <v>773.72</v>
      </c>
    </row>
    <row r="47" spans="1:14" x14ac:dyDescent="0.25">
      <c r="A47" s="29" t="s">
        <v>35</v>
      </c>
      <c r="B47" s="30" t="s">
        <v>36</v>
      </c>
      <c r="C47" s="30" t="s">
        <v>57</v>
      </c>
      <c r="D47" s="31" t="s">
        <v>431</v>
      </c>
      <c r="E47" s="31" t="s">
        <v>382</v>
      </c>
      <c r="F47" s="32">
        <v>45903</v>
      </c>
      <c r="G47" s="32">
        <v>45924</v>
      </c>
      <c r="H47" s="20">
        <v>4570.8100000000004</v>
      </c>
      <c r="J47" s="8">
        <v>4111.68</v>
      </c>
      <c r="K47" s="8">
        <v>459.13</v>
      </c>
      <c r="N47" s="8">
        <f t="shared" si="0"/>
        <v>4570.8100000000004</v>
      </c>
    </row>
    <row r="48" spans="1:14" x14ac:dyDescent="0.25">
      <c r="A48" s="29" t="s">
        <v>35</v>
      </c>
      <c r="B48" s="30" t="s">
        <v>36</v>
      </c>
      <c r="C48" s="30" t="s">
        <v>58</v>
      </c>
      <c r="D48" s="31" t="s">
        <v>432</v>
      </c>
      <c r="E48" s="31" t="s">
        <v>382</v>
      </c>
      <c r="F48" s="32">
        <v>45903</v>
      </c>
      <c r="G48" s="32">
        <v>45924</v>
      </c>
      <c r="H48" s="20">
        <v>709.68</v>
      </c>
      <c r="J48" s="8">
        <v>638.4</v>
      </c>
      <c r="K48" s="8">
        <v>71.28</v>
      </c>
      <c r="N48" s="8">
        <f t="shared" si="0"/>
        <v>709.68</v>
      </c>
    </row>
    <row r="49" spans="1:19" x14ac:dyDescent="0.25">
      <c r="A49" s="29" t="s">
        <v>35</v>
      </c>
      <c r="B49" s="30" t="s">
        <v>36</v>
      </c>
      <c r="C49" s="30" t="s">
        <v>59</v>
      </c>
      <c r="D49" s="31" t="s">
        <v>436</v>
      </c>
      <c r="E49" s="31" t="s">
        <v>382</v>
      </c>
      <c r="F49" s="32">
        <v>45903</v>
      </c>
      <c r="G49" s="32">
        <v>45924</v>
      </c>
      <c r="H49" s="20">
        <v>1566.64</v>
      </c>
      <c r="J49" s="8">
        <v>1409.28</v>
      </c>
      <c r="K49" s="8">
        <v>157.36000000000001</v>
      </c>
      <c r="N49" s="8">
        <f t="shared" si="0"/>
        <v>1566.6399999999999</v>
      </c>
    </row>
    <row r="50" spans="1:19" x14ac:dyDescent="0.25">
      <c r="A50" s="29" t="s">
        <v>35</v>
      </c>
      <c r="B50" s="30" t="s">
        <v>36</v>
      </c>
      <c r="C50" s="30" t="s">
        <v>60</v>
      </c>
      <c r="D50" s="31" t="s">
        <v>437</v>
      </c>
      <c r="E50" s="31" t="s">
        <v>382</v>
      </c>
      <c r="F50" s="32">
        <v>45903</v>
      </c>
      <c r="G50" s="32">
        <v>45924</v>
      </c>
      <c r="H50" s="20">
        <v>618.97</v>
      </c>
      <c r="J50" s="8">
        <v>556.79999999999995</v>
      </c>
      <c r="K50" s="8">
        <v>62.17</v>
      </c>
      <c r="N50" s="8">
        <f t="shared" si="0"/>
        <v>618.96999999999991</v>
      </c>
    </row>
    <row r="51" spans="1:19" x14ac:dyDescent="0.25">
      <c r="A51" s="29" t="s">
        <v>35</v>
      </c>
      <c r="B51" s="30" t="s">
        <v>36</v>
      </c>
      <c r="C51" s="30" t="s">
        <v>61</v>
      </c>
      <c r="D51" s="31" t="s">
        <v>438</v>
      </c>
      <c r="E51" s="31" t="s">
        <v>382</v>
      </c>
      <c r="F51" s="32">
        <v>45903</v>
      </c>
      <c r="G51" s="32">
        <v>45924</v>
      </c>
      <c r="H51" s="20">
        <v>610.42999999999995</v>
      </c>
      <c r="J51" s="8">
        <v>549.12</v>
      </c>
      <c r="K51" s="8">
        <v>61.31</v>
      </c>
      <c r="N51" s="8">
        <f t="shared" si="0"/>
        <v>610.43000000000006</v>
      </c>
    </row>
    <row r="52" spans="1:19" x14ac:dyDescent="0.25">
      <c r="A52" s="29" t="s">
        <v>35</v>
      </c>
      <c r="B52" s="30" t="s">
        <v>36</v>
      </c>
      <c r="C52" s="30" t="s">
        <v>62</v>
      </c>
      <c r="D52" s="31" t="s">
        <v>439</v>
      </c>
      <c r="E52" s="31" t="s">
        <v>382</v>
      </c>
      <c r="F52" s="32">
        <v>45903</v>
      </c>
      <c r="G52" s="32">
        <v>45924</v>
      </c>
      <c r="H52" s="20">
        <v>2222.9699999999998</v>
      </c>
      <c r="J52" s="8">
        <v>1999.68</v>
      </c>
      <c r="K52" s="8">
        <v>223.29</v>
      </c>
      <c r="N52" s="8">
        <f t="shared" si="0"/>
        <v>2222.9700000000003</v>
      </c>
    </row>
    <row r="53" spans="1:19" x14ac:dyDescent="0.25">
      <c r="A53" s="29" t="s">
        <v>35</v>
      </c>
      <c r="B53" s="30" t="s">
        <v>36</v>
      </c>
      <c r="C53" s="30" t="s">
        <v>63</v>
      </c>
      <c r="D53" s="31" t="s">
        <v>440</v>
      </c>
      <c r="E53" s="31" t="s">
        <v>382</v>
      </c>
      <c r="F53" s="32">
        <v>45903</v>
      </c>
      <c r="G53" s="32">
        <v>45924</v>
      </c>
      <c r="H53" s="20">
        <v>1358.54</v>
      </c>
      <c r="J53" s="8">
        <v>1222.08</v>
      </c>
      <c r="K53" s="8">
        <v>136.46</v>
      </c>
      <c r="N53" s="8">
        <f t="shared" si="0"/>
        <v>1358.54</v>
      </c>
    </row>
    <row r="54" spans="1:19" x14ac:dyDescent="0.25">
      <c r="A54" s="29" t="s">
        <v>35</v>
      </c>
      <c r="B54" s="30" t="s">
        <v>36</v>
      </c>
      <c r="C54" s="30" t="s">
        <v>64</v>
      </c>
      <c r="D54" s="31" t="s">
        <v>441</v>
      </c>
      <c r="E54" s="31" t="s">
        <v>382</v>
      </c>
      <c r="F54" s="32">
        <v>45903</v>
      </c>
      <c r="G54" s="32">
        <v>45924</v>
      </c>
      <c r="H54" s="20">
        <v>691.54</v>
      </c>
      <c r="J54" s="8">
        <v>622.08000000000004</v>
      </c>
      <c r="K54" s="8">
        <v>69.459999999999994</v>
      </c>
      <c r="N54" s="8">
        <f t="shared" si="0"/>
        <v>691.54000000000008</v>
      </c>
    </row>
    <row r="55" spans="1:19" x14ac:dyDescent="0.25">
      <c r="A55" s="60" t="s">
        <v>35</v>
      </c>
      <c r="B55" s="61" t="s">
        <v>36</v>
      </c>
      <c r="C55" s="61" t="s">
        <v>65</v>
      </c>
      <c r="D55" s="62" t="s">
        <v>442</v>
      </c>
      <c r="E55" s="62" t="s">
        <v>382</v>
      </c>
      <c r="F55" s="63">
        <v>45903</v>
      </c>
      <c r="G55" s="63">
        <v>45924</v>
      </c>
      <c r="H55" s="27">
        <v>3478</v>
      </c>
      <c r="I55" s="51">
        <f>SUM(H27:H55)</f>
        <v>37725.770000000011</v>
      </c>
      <c r="J55" s="28">
        <v>3128.64</v>
      </c>
      <c r="K55" s="28">
        <v>349.36</v>
      </c>
      <c r="L55" s="28"/>
      <c r="M55" s="28"/>
      <c r="N55" s="28">
        <f t="shared" si="0"/>
        <v>3478</v>
      </c>
      <c r="O55" s="55">
        <v>45938</v>
      </c>
      <c r="P55" s="26">
        <v>346484</v>
      </c>
      <c r="R55" s="24">
        <v>1077144</v>
      </c>
      <c r="S55" s="24" t="s">
        <v>664</v>
      </c>
    </row>
    <row r="56" spans="1:19" x14ac:dyDescent="0.25">
      <c r="A56" s="64" t="s">
        <v>66</v>
      </c>
      <c r="B56" s="65" t="s">
        <v>67</v>
      </c>
      <c r="C56" s="65" t="s">
        <v>68</v>
      </c>
      <c r="D56" s="66" t="s">
        <v>443</v>
      </c>
      <c r="E56" s="66" t="s">
        <v>382</v>
      </c>
      <c r="F56" s="67">
        <v>45899</v>
      </c>
      <c r="G56" s="67">
        <v>45924</v>
      </c>
      <c r="H56" s="68">
        <v>231.98</v>
      </c>
      <c r="I56" s="52">
        <f>H56</f>
        <v>231.98</v>
      </c>
      <c r="J56" s="8">
        <v>213</v>
      </c>
      <c r="K56" s="8">
        <f>25.65-12.67</f>
        <v>12.979999999999999</v>
      </c>
      <c r="L56" s="8">
        <v>6</v>
      </c>
      <c r="N56" s="8">
        <f>SUM(J56:L56)</f>
        <v>231.98</v>
      </c>
      <c r="R56" s="24">
        <v>1077145</v>
      </c>
      <c r="S56" s="24" t="s">
        <v>664</v>
      </c>
    </row>
    <row r="57" spans="1:19" x14ac:dyDescent="0.25">
      <c r="A57" s="29" t="s">
        <v>69</v>
      </c>
      <c r="B57" s="30" t="s">
        <v>70</v>
      </c>
      <c r="C57" s="30" t="s">
        <v>71</v>
      </c>
      <c r="D57" s="31" t="s">
        <v>444</v>
      </c>
      <c r="E57" s="31" t="s">
        <v>382</v>
      </c>
      <c r="F57" s="32">
        <v>45904</v>
      </c>
      <c r="G57" s="32">
        <v>45925</v>
      </c>
      <c r="H57" s="20">
        <v>250.46</v>
      </c>
      <c r="J57" s="8">
        <v>245.46</v>
      </c>
      <c r="K57" s="8">
        <v>0</v>
      </c>
      <c r="L57" s="8">
        <v>5</v>
      </c>
      <c r="N57" s="8">
        <f t="shared" ref="N57:N120" si="1">SUM(J57:L57)</f>
        <v>250.46</v>
      </c>
      <c r="Q57" s="23"/>
    </row>
    <row r="58" spans="1:19" x14ac:dyDescent="0.25">
      <c r="A58" s="29" t="s">
        <v>69</v>
      </c>
      <c r="B58" s="30" t="s">
        <v>70</v>
      </c>
      <c r="C58" s="30" t="s">
        <v>72</v>
      </c>
      <c r="D58" s="31" t="s">
        <v>445</v>
      </c>
      <c r="E58" s="31" t="s">
        <v>382</v>
      </c>
      <c r="F58" s="32">
        <v>45904</v>
      </c>
      <c r="G58" s="32">
        <v>45925</v>
      </c>
      <c r="H58" s="20">
        <v>41.56</v>
      </c>
      <c r="J58" s="8">
        <f>41-2.44</f>
        <v>38.56</v>
      </c>
      <c r="K58" s="8">
        <v>0</v>
      </c>
      <c r="L58" s="8">
        <v>3</v>
      </c>
      <c r="N58" s="8">
        <f t="shared" si="1"/>
        <v>41.56</v>
      </c>
      <c r="Q58" s="23"/>
    </row>
    <row r="59" spans="1:19" x14ac:dyDescent="0.25">
      <c r="A59" s="29" t="s">
        <v>69</v>
      </c>
      <c r="B59" s="30" t="s">
        <v>70</v>
      </c>
      <c r="C59" s="30" t="s">
        <v>73</v>
      </c>
      <c r="D59" s="31" t="s">
        <v>446</v>
      </c>
      <c r="E59" s="31" t="s">
        <v>382</v>
      </c>
      <c r="F59" s="32">
        <v>45904</v>
      </c>
      <c r="G59" s="32">
        <v>45925</v>
      </c>
      <c r="H59" s="20">
        <v>51.91</v>
      </c>
      <c r="J59" s="8">
        <f>52-3.09</f>
        <v>48.91</v>
      </c>
      <c r="K59" s="8">
        <v>0</v>
      </c>
      <c r="L59" s="8">
        <v>3</v>
      </c>
      <c r="N59" s="8">
        <f t="shared" si="1"/>
        <v>51.91</v>
      </c>
      <c r="Q59" s="23"/>
    </row>
    <row r="60" spans="1:19" x14ac:dyDescent="0.25">
      <c r="A60" s="29" t="s">
        <v>69</v>
      </c>
      <c r="B60" s="30" t="s">
        <v>70</v>
      </c>
      <c r="C60" s="30" t="s">
        <v>74</v>
      </c>
      <c r="D60" s="31" t="s">
        <v>447</v>
      </c>
      <c r="E60" s="31" t="s">
        <v>382</v>
      </c>
      <c r="F60" s="32">
        <v>45904</v>
      </c>
      <c r="G60" s="32">
        <v>45925</v>
      </c>
      <c r="H60" s="20">
        <v>2132.1999999999998</v>
      </c>
      <c r="J60" s="8">
        <f>2148-127.8</f>
        <v>2020.2</v>
      </c>
      <c r="K60" s="8">
        <v>0</v>
      </c>
      <c r="L60" s="8">
        <v>112</v>
      </c>
      <c r="N60" s="8">
        <f t="shared" si="1"/>
        <v>2132.1999999999998</v>
      </c>
      <c r="Q60" s="23"/>
    </row>
    <row r="61" spans="1:19" x14ac:dyDescent="0.25">
      <c r="A61" s="29" t="s">
        <v>69</v>
      </c>
      <c r="B61" s="30" t="s">
        <v>70</v>
      </c>
      <c r="C61" s="30" t="s">
        <v>75</v>
      </c>
      <c r="D61" s="31" t="s">
        <v>448</v>
      </c>
      <c r="E61" s="31" t="s">
        <v>382</v>
      </c>
      <c r="F61" s="32">
        <v>45904</v>
      </c>
      <c r="G61" s="32">
        <v>45925</v>
      </c>
      <c r="H61" s="20">
        <v>576.53</v>
      </c>
      <c r="J61" s="8">
        <f>579-34.47</f>
        <v>544.53</v>
      </c>
      <c r="K61" s="8">
        <v>0</v>
      </c>
      <c r="L61" s="8">
        <v>32</v>
      </c>
      <c r="N61" s="8">
        <f t="shared" si="1"/>
        <v>576.53</v>
      </c>
      <c r="Q61" s="23"/>
    </row>
    <row r="62" spans="1:19" x14ac:dyDescent="0.25">
      <c r="A62" s="29" t="s">
        <v>69</v>
      </c>
      <c r="B62" s="30" t="s">
        <v>70</v>
      </c>
      <c r="C62" s="30" t="s">
        <v>76</v>
      </c>
      <c r="D62" s="31" t="s">
        <v>449</v>
      </c>
      <c r="E62" s="31" t="s">
        <v>382</v>
      </c>
      <c r="F62" s="32">
        <v>45904</v>
      </c>
      <c r="G62" s="32">
        <v>45925</v>
      </c>
      <c r="H62" s="20">
        <v>480.21</v>
      </c>
      <c r="J62" s="8">
        <f>484-28.79</f>
        <v>455.21</v>
      </c>
      <c r="K62" s="8">
        <v>0</v>
      </c>
      <c r="L62" s="8">
        <v>25</v>
      </c>
      <c r="N62" s="8">
        <f t="shared" si="1"/>
        <v>480.21</v>
      </c>
      <c r="Q62" s="23"/>
    </row>
    <row r="63" spans="1:19" x14ac:dyDescent="0.25">
      <c r="A63" s="29" t="s">
        <v>69</v>
      </c>
      <c r="B63" s="30" t="s">
        <v>70</v>
      </c>
      <c r="C63" s="30" t="s">
        <v>77</v>
      </c>
      <c r="D63" s="31" t="s">
        <v>450</v>
      </c>
      <c r="E63" s="31" t="s">
        <v>382</v>
      </c>
      <c r="F63" s="32">
        <v>45904</v>
      </c>
      <c r="G63" s="32">
        <v>45925</v>
      </c>
      <c r="H63" s="20">
        <v>941.7</v>
      </c>
      <c r="J63" s="8">
        <f>946-56.3</f>
        <v>889.7</v>
      </c>
      <c r="K63" s="8">
        <v>0</v>
      </c>
      <c r="L63" s="8">
        <v>52</v>
      </c>
      <c r="N63" s="8">
        <f t="shared" si="1"/>
        <v>941.7</v>
      </c>
      <c r="Q63" s="23"/>
    </row>
    <row r="64" spans="1:19" x14ac:dyDescent="0.25">
      <c r="A64" s="29" t="s">
        <v>69</v>
      </c>
      <c r="B64" s="30" t="s">
        <v>70</v>
      </c>
      <c r="C64" s="30" t="s">
        <v>78</v>
      </c>
      <c r="D64" s="31" t="s">
        <v>451</v>
      </c>
      <c r="E64" s="31" t="s">
        <v>382</v>
      </c>
      <c r="F64" s="32">
        <v>45904</v>
      </c>
      <c r="G64" s="32">
        <v>45925</v>
      </c>
      <c r="H64" s="20">
        <v>123.62</v>
      </c>
      <c r="J64" s="8">
        <f>124-7.38</f>
        <v>116.62</v>
      </c>
      <c r="K64" s="8">
        <v>0</v>
      </c>
      <c r="L64" s="8">
        <v>7</v>
      </c>
      <c r="N64" s="8">
        <f t="shared" si="1"/>
        <v>123.62</v>
      </c>
      <c r="Q64" s="23"/>
    </row>
    <row r="65" spans="1:17" x14ac:dyDescent="0.25">
      <c r="A65" s="29" t="s">
        <v>69</v>
      </c>
      <c r="B65" s="30" t="s">
        <v>70</v>
      </c>
      <c r="C65" s="30" t="s">
        <v>79</v>
      </c>
      <c r="D65" s="31" t="s">
        <v>452</v>
      </c>
      <c r="E65" s="31" t="s">
        <v>382</v>
      </c>
      <c r="F65" s="32">
        <v>45904</v>
      </c>
      <c r="G65" s="32">
        <v>45925</v>
      </c>
      <c r="H65" s="20">
        <v>891.45</v>
      </c>
      <c r="J65" s="8">
        <f>900-53.55</f>
        <v>846.45</v>
      </c>
      <c r="K65" s="8">
        <v>0</v>
      </c>
      <c r="L65" s="8">
        <v>45</v>
      </c>
      <c r="N65" s="8">
        <f t="shared" si="1"/>
        <v>891.45</v>
      </c>
      <c r="Q65" s="23"/>
    </row>
    <row r="66" spans="1:17" x14ac:dyDescent="0.25">
      <c r="A66" s="29" t="s">
        <v>69</v>
      </c>
      <c r="B66" s="30" t="s">
        <v>70</v>
      </c>
      <c r="C66" s="30" t="s">
        <v>80</v>
      </c>
      <c r="D66" s="31" t="s">
        <v>453</v>
      </c>
      <c r="E66" s="31" t="s">
        <v>382</v>
      </c>
      <c r="F66" s="32">
        <v>45904</v>
      </c>
      <c r="G66" s="32">
        <v>45925</v>
      </c>
      <c r="H66" s="20">
        <v>804.98</v>
      </c>
      <c r="J66" s="8">
        <f>824-49.02</f>
        <v>774.98</v>
      </c>
      <c r="K66" s="8">
        <v>0</v>
      </c>
      <c r="L66" s="8">
        <v>30</v>
      </c>
      <c r="N66" s="8">
        <f t="shared" si="1"/>
        <v>804.98</v>
      </c>
      <c r="Q66" s="23"/>
    </row>
    <row r="67" spans="1:17" x14ac:dyDescent="0.25">
      <c r="A67" s="29" t="s">
        <v>69</v>
      </c>
      <c r="B67" s="30" t="s">
        <v>70</v>
      </c>
      <c r="C67" s="30" t="s">
        <v>81</v>
      </c>
      <c r="D67" s="31" t="s">
        <v>454</v>
      </c>
      <c r="E67" s="31" t="s">
        <v>382</v>
      </c>
      <c r="F67" s="32">
        <v>45904</v>
      </c>
      <c r="G67" s="32">
        <v>45925</v>
      </c>
      <c r="H67" s="20">
        <v>164.19</v>
      </c>
      <c r="J67" s="8">
        <f>165-9.81</f>
        <v>155.19</v>
      </c>
      <c r="K67" s="8">
        <v>0</v>
      </c>
      <c r="L67" s="8">
        <v>9</v>
      </c>
      <c r="N67" s="8">
        <f t="shared" si="1"/>
        <v>164.19</v>
      </c>
      <c r="Q67" s="23"/>
    </row>
    <row r="68" spans="1:17" x14ac:dyDescent="0.25">
      <c r="A68" s="29" t="s">
        <v>69</v>
      </c>
      <c r="B68" s="30" t="s">
        <v>70</v>
      </c>
      <c r="C68" s="30" t="s">
        <v>82</v>
      </c>
      <c r="D68" s="31" t="s">
        <v>455</v>
      </c>
      <c r="E68" s="31" t="s">
        <v>382</v>
      </c>
      <c r="F68" s="32">
        <v>45904</v>
      </c>
      <c r="G68" s="32">
        <v>45925</v>
      </c>
      <c r="H68" s="20">
        <v>3059.52</v>
      </c>
      <c r="J68" s="8">
        <f>3134-186.48</f>
        <v>2947.52</v>
      </c>
      <c r="K68" s="8">
        <v>0</v>
      </c>
      <c r="L68" s="8">
        <v>112</v>
      </c>
      <c r="N68" s="8">
        <f t="shared" si="1"/>
        <v>3059.52</v>
      </c>
      <c r="Q68" s="23"/>
    </row>
    <row r="69" spans="1:17" x14ac:dyDescent="0.25">
      <c r="A69" s="29" t="s">
        <v>69</v>
      </c>
      <c r="B69" s="30" t="s">
        <v>70</v>
      </c>
      <c r="C69" s="30" t="s">
        <v>83</v>
      </c>
      <c r="D69" s="31" t="s">
        <v>456</v>
      </c>
      <c r="E69" s="31" t="s">
        <v>382</v>
      </c>
      <c r="F69" s="32">
        <v>45904</v>
      </c>
      <c r="G69" s="32">
        <v>45925</v>
      </c>
      <c r="H69" s="20">
        <v>756</v>
      </c>
      <c r="J69" s="8">
        <f>773-46</f>
        <v>727</v>
      </c>
      <c r="K69" s="8">
        <v>0</v>
      </c>
      <c r="L69" s="8">
        <v>29</v>
      </c>
      <c r="N69" s="8">
        <f t="shared" si="1"/>
        <v>756</v>
      </c>
      <c r="Q69" s="23"/>
    </row>
    <row r="70" spans="1:17" x14ac:dyDescent="0.25">
      <c r="A70" s="29" t="s">
        <v>69</v>
      </c>
      <c r="B70" s="30" t="s">
        <v>70</v>
      </c>
      <c r="C70" s="30" t="s">
        <v>84</v>
      </c>
      <c r="D70" s="31" t="s">
        <v>457</v>
      </c>
      <c r="E70" s="31" t="s">
        <v>382</v>
      </c>
      <c r="F70" s="32">
        <v>45904</v>
      </c>
      <c r="G70" s="32">
        <v>45925</v>
      </c>
      <c r="H70" s="20">
        <v>307.56</v>
      </c>
      <c r="J70" s="8">
        <f>310-18.44</f>
        <v>291.56</v>
      </c>
      <c r="K70" s="8">
        <v>0</v>
      </c>
      <c r="L70" s="8">
        <v>16</v>
      </c>
      <c r="N70" s="8">
        <f t="shared" si="1"/>
        <v>307.56</v>
      </c>
      <c r="Q70" s="23"/>
    </row>
    <row r="71" spans="1:17" x14ac:dyDescent="0.25">
      <c r="A71" s="29" t="s">
        <v>69</v>
      </c>
      <c r="B71" s="30" t="s">
        <v>70</v>
      </c>
      <c r="C71" s="30" t="s">
        <v>85</v>
      </c>
      <c r="D71" s="31" t="s">
        <v>458</v>
      </c>
      <c r="E71" s="31" t="s">
        <v>382</v>
      </c>
      <c r="F71" s="32">
        <v>45904</v>
      </c>
      <c r="G71" s="32">
        <v>45925</v>
      </c>
      <c r="H71" s="20">
        <v>270.76</v>
      </c>
      <c r="J71" s="8">
        <f>273-16.24</f>
        <v>256.76</v>
      </c>
      <c r="K71" s="8">
        <v>0</v>
      </c>
      <c r="L71" s="8">
        <v>14</v>
      </c>
      <c r="N71" s="8">
        <f t="shared" si="1"/>
        <v>270.76</v>
      </c>
      <c r="Q71" s="23"/>
    </row>
    <row r="72" spans="1:17" x14ac:dyDescent="0.25">
      <c r="A72" s="29" t="s">
        <v>69</v>
      </c>
      <c r="B72" s="30" t="s">
        <v>70</v>
      </c>
      <c r="C72" s="30" t="s">
        <v>86</v>
      </c>
      <c r="D72" s="31" t="s">
        <v>459</v>
      </c>
      <c r="E72" s="31" t="s">
        <v>382</v>
      </c>
      <c r="F72" s="32">
        <v>45904</v>
      </c>
      <c r="G72" s="32">
        <v>45925</v>
      </c>
      <c r="H72" s="20">
        <v>1461.05</v>
      </c>
      <c r="J72" s="8">
        <f>1495-88.95</f>
        <v>1406.05</v>
      </c>
      <c r="K72" s="8">
        <v>0</v>
      </c>
      <c r="L72" s="8">
        <v>55</v>
      </c>
      <c r="N72" s="8">
        <f t="shared" si="1"/>
        <v>1461.05</v>
      </c>
      <c r="Q72" s="23"/>
    </row>
    <row r="73" spans="1:17" x14ac:dyDescent="0.25">
      <c r="A73" s="29" t="s">
        <v>69</v>
      </c>
      <c r="B73" s="30" t="s">
        <v>70</v>
      </c>
      <c r="C73" s="30" t="s">
        <v>87</v>
      </c>
      <c r="D73" s="31" t="s">
        <v>460</v>
      </c>
      <c r="E73" s="31" t="s">
        <v>382</v>
      </c>
      <c r="F73" s="32">
        <v>45904</v>
      </c>
      <c r="G73" s="32">
        <v>45925</v>
      </c>
      <c r="H73" s="20">
        <v>412.89</v>
      </c>
      <c r="J73" s="8">
        <f>422-25.11</f>
        <v>396.89</v>
      </c>
      <c r="K73" s="8">
        <v>0</v>
      </c>
      <c r="L73" s="8">
        <v>16</v>
      </c>
      <c r="N73" s="8">
        <f t="shared" si="1"/>
        <v>412.89</v>
      </c>
      <c r="Q73" s="23"/>
    </row>
    <row r="74" spans="1:17" x14ac:dyDescent="0.25">
      <c r="A74" s="29" t="s">
        <v>69</v>
      </c>
      <c r="B74" s="30" t="s">
        <v>70</v>
      </c>
      <c r="C74" s="30" t="s">
        <v>88</v>
      </c>
      <c r="D74" s="31" t="s">
        <v>461</v>
      </c>
      <c r="E74" s="31" t="s">
        <v>382</v>
      </c>
      <c r="F74" s="32">
        <v>45904</v>
      </c>
      <c r="G74" s="32">
        <v>45925</v>
      </c>
      <c r="H74" s="20">
        <v>211.15</v>
      </c>
      <c r="J74" s="8">
        <f>216-12.85</f>
        <v>203.15</v>
      </c>
      <c r="K74" s="8">
        <v>0</v>
      </c>
      <c r="L74" s="8">
        <v>8</v>
      </c>
      <c r="N74" s="8">
        <f t="shared" si="1"/>
        <v>211.15</v>
      </c>
      <c r="Q74" s="23"/>
    </row>
    <row r="75" spans="1:17" x14ac:dyDescent="0.25">
      <c r="A75" s="29" t="s">
        <v>69</v>
      </c>
      <c r="B75" s="30" t="s">
        <v>70</v>
      </c>
      <c r="C75" s="30" t="s">
        <v>89</v>
      </c>
      <c r="D75" s="31" t="s">
        <v>462</v>
      </c>
      <c r="E75" s="31" t="s">
        <v>382</v>
      </c>
      <c r="F75" s="32">
        <v>45904</v>
      </c>
      <c r="G75" s="32">
        <v>45925</v>
      </c>
      <c r="H75" s="20">
        <v>1529.83</v>
      </c>
      <c r="J75" s="8">
        <f>1566-93.17</f>
        <v>1472.83</v>
      </c>
      <c r="K75" s="8">
        <v>0</v>
      </c>
      <c r="L75" s="8">
        <v>57</v>
      </c>
      <c r="N75" s="8">
        <f t="shared" si="1"/>
        <v>1529.83</v>
      </c>
      <c r="Q75" s="23"/>
    </row>
    <row r="76" spans="1:17" x14ac:dyDescent="0.25">
      <c r="A76" s="29" t="s">
        <v>69</v>
      </c>
      <c r="B76" s="30" t="s">
        <v>70</v>
      </c>
      <c r="C76" s="30" t="s">
        <v>90</v>
      </c>
      <c r="D76" s="31" t="s">
        <v>463</v>
      </c>
      <c r="E76" s="31" t="s">
        <v>382</v>
      </c>
      <c r="F76" s="32">
        <v>45904</v>
      </c>
      <c r="G76" s="32">
        <v>45925</v>
      </c>
      <c r="H76" s="20">
        <v>211.15</v>
      </c>
      <c r="J76" s="8">
        <f>216-12.85</f>
        <v>203.15</v>
      </c>
      <c r="K76" s="8">
        <v>0</v>
      </c>
      <c r="L76" s="8">
        <v>8</v>
      </c>
      <c r="N76" s="8">
        <f t="shared" si="1"/>
        <v>211.15</v>
      </c>
      <c r="Q76" s="23"/>
    </row>
    <row r="77" spans="1:17" x14ac:dyDescent="0.25">
      <c r="A77" s="29" t="s">
        <v>69</v>
      </c>
      <c r="B77" s="30" t="s">
        <v>70</v>
      </c>
      <c r="C77" s="30" t="s">
        <v>91</v>
      </c>
      <c r="D77" s="31" t="s">
        <v>464</v>
      </c>
      <c r="E77" s="31" t="s">
        <v>382</v>
      </c>
      <c r="F77" s="32">
        <v>45904</v>
      </c>
      <c r="G77" s="32">
        <v>45925</v>
      </c>
      <c r="H77" s="20">
        <v>82.12</v>
      </c>
      <c r="J77" s="8">
        <f>82-4.88</f>
        <v>77.12</v>
      </c>
      <c r="K77" s="8">
        <v>0</v>
      </c>
      <c r="L77" s="8">
        <v>5</v>
      </c>
      <c r="N77" s="8">
        <f t="shared" si="1"/>
        <v>82.12</v>
      </c>
      <c r="Q77" s="23"/>
    </row>
    <row r="78" spans="1:17" x14ac:dyDescent="0.25">
      <c r="A78" s="29" t="s">
        <v>69</v>
      </c>
      <c r="B78" s="30" t="s">
        <v>70</v>
      </c>
      <c r="C78" s="30" t="s">
        <v>92</v>
      </c>
      <c r="D78" s="31" t="s">
        <v>465</v>
      </c>
      <c r="E78" s="31" t="s">
        <v>382</v>
      </c>
      <c r="F78" s="32">
        <v>45904</v>
      </c>
      <c r="G78" s="32">
        <v>45925</v>
      </c>
      <c r="H78" s="20">
        <v>255.65</v>
      </c>
      <c r="J78" s="8">
        <f>258-15.35</f>
        <v>242.65</v>
      </c>
      <c r="K78" s="8">
        <v>0</v>
      </c>
      <c r="L78" s="8">
        <v>13</v>
      </c>
      <c r="N78" s="8">
        <f t="shared" si="1"/>
        <v>255.65</v>
      </c>
      <c r="Q78" s="23"/>
    </row>
    <row r="79" spans="1:17" x14ac:dyDescent="0.25">
      <c r="A79" s="29" t="s">
        <v>69</v>
      </c>
      <c r="B79" s="30" t="s">
        <v>70</v>
      </c>
      <c r="C79" s="30" t="s">
        <v>93</v>
      </c>
      <c r="D79" s="31" t="s">
        <v>466</v>
      </c>
      <c r="E79" s="31" t="s">
        <v>382</v>
      </c>
      <c r="F79" s="32">
        <v>45904</v>
      </c>
      <c r="G79" s="32">
        <v>45925</v>
      </c>
      <c r="H79" s="20">
        <v>152.84</v>
      </c>
      <c r="I79" s="4"/>
      <c r="J79" s="8">
        <f>154-9.16</f>
        <v>144.84</v>
      </c>
      <c r="K79" s="8">
        <v>0</v>
      </c>
      <c r="L79" s="8">
        <v>8</v>
      </c>
      <c r="N79" s="8">
        <f t="shared" si="1"/>
        <v>152.84</v>
      </c>
      <c r="Q79" s="23"/>
    </row>
    <row r="80" spans="1:17" x14ac:dyDescent="0.25">
      <c r="A80" s="29" t="s">
        <v>69</v>
      </c>
      <c r="B80" s="30" t="s">
        <v>70</v>
      </c>
      <c r="C80" s="30" t="s">
        <v>94</v>
      </c>
      <c r="D80" s="31" t="s">
        <v>467</v>
      </c>
      <c r="E80" s="31" t="s">
        <v>382</v>
      </c>
      <c r="F80" s="32">
        <v>45904</v>
      </c>
      <c r="G80" s="32">
        <v>45925</v>
      </c>
      <c r="H80" s="20">
        <v>4254.34</v>
      </c>
      <c r="J80" s="8">
        <f>4398-261.66</f>
        <v>4136.34</v>
      </c>
      <c r="K80" s="8">
        <v>0</v>
      </c>
      <c r="L80" s="8">
        <v>118</v>
      </c>
      <c r="N80" s="8">
        <f t="shared" si="1"/>
        <v>4254.34</v>
      </c>
      <c r="Q80" s="23"/>
    </row>
    <row r="81" spans="1:19" x14ac:dyDescent="0.25">
      <c r="A81" s="29" t="s">
        <v>69</v>
      </c>
      <c r="B81" s="30" t="s">
        <v>70</v>
      </c>
      <c r="C81" s="30" t="s">
        <v>95</v>
      </c>
      <c r="D81" s="31" t="s">
        <v>468</v>
      </c>
      <c r="E81" s="31" t="s">
        <v>382</v>
      </c>
      <c r="F81" s="32">
        <v>45904</v>
      </c>
      <c r="G81" s="32">
        <v>45925</v>
      </c>
      <c r="H81" s="20">
        <v>2013.3</v>
      </c>
      <c r="J81" s="8">
        <f>2062-122.7</f>
        <v>1939.3</v>
      </c>
      <c r="K81" s="8">
        <v>0</v>
      </c>
      <c r="L81" s="8">
        <v>74</v>
      </c>
      <c r="N81" s="8">
        <f t="shared" si="1"/>
        <v>2013.3</v>
      </c>
      <c r="Q81" s="23"/>
    </row>
    <row r="82" spans="1:19" x14ac:dyDescent="0.25">
      <c r="A82" s="29" t="s">
        <v>69</v>
      </c>
      <c r="B82" s="30" t="s">
        <v>70</v>
      </c>
      <c r="C82" s="30" t="s">
        <v>96</v>
      </c>
      <c r="D82" s="31" t="s">
        <v>469</v>
      </c>
      <c r="E82" s="31" t="s">
        <v>382</v>
      </c>
      <c r="F82" s="32">
        <v>45904</v>
      </c>
      <c r="G82" s="32">
        <v>45925</v>
      </c>
      <c r="H82" s="20">
        <v>1004.01</v>
      </c>
      <c r="J82" s="8">
        <f>1008-59.99</f>
        <v>948.01</v>
      </c>
      <c r="K82" s="8">
        <v>0</v>
      </c>
      <c r="L82" s="8">
        <v>56</v>
      </c>
      <c r="N82" s="8">
        <f t="shared" si="1"/>
        <v>1004.01</v>
      </c>
      <c r="Q82" s="23"/>
    </row>
    <row r="83" spans="1:19" x14ac:dyDescent="0.25">
      <c r="A83" s="29" t="s">
        <v>69</v>
      </c>
      <c r="B83" s="30" t="s">
        <v>70</v>
      </c>
      <c r="C83" s="30" t="s">
        <v>97</v>
      </c>
      <c r="D83" s="31" t="s">
        <v>470</v>
      </c>
      <c r="E83" s="31" t="s">
        <v>382</v>
      </c>
      <c r="F83" s="32">
        <v>45904</v>
      </c>
      <c r="G83" s="32">
        <v>45925</v>
      </c>
      <c r="H83" s="20">
        <v>1022.71</v>
      </c>
      <c r="J83" s="8">
        <f>1030-61.29</f>
        <v>968.71</v>
      </c>
      <c r="K83" s="8">
        <v>0</v>
      </c>
      <c r="L83" s="8">
        <v>54</v>
      </c>
      <c r="N83" s="8">
        <f t="shared" si="1"/>
        <v>1022.71</v>
      </c>
      <c r="Q83" s="23"/>
    </row>
    <row r="84" spans="1:19" x14ac:dyDescent="0.25">
      <c r="A84" s="29" t="s">
        <v>69</v>
      </c>
      <c r="B84" s="30" t="s">
        <v>70</v>
      </c>
      <c r="C84" s="30" t="s">
        <v>98</v>
      </c>
      <c r="D84" s="31" t="s">
        <v>471</v>
      </c>
      <c r="E84" s="31" t="s">
        <v>382</v>
      </c>
      <c r="F84" s="32">
        <v>45904</v>
      </c>
      <c r="G84" s="32">
        <v>45925</v>
      </c>
      <c r="H84" s="20">
        <v>1205.75</v>
      </c>
      <c r="J84" s="8">
        <f>1214-72.25</f>
        <v>1141.75</v>
      </c>
      <c r="K84" s="8">
        <v>0</v>
      </c>
      <c r="L84" s="8">
        <v>64</v>
      </c>
      <c r="N84" s="8">
        <f t="shared" si="1"/>
        <v>1205.75</v>
      </c>
      <c r="Q84" s="23"/>
    </row>
    <row r="85" spans="1:19" x14ac:dyDescent="0.25">
      <c r="A85" s="29" t="s">
        <v>69</v>
      </c>
      <c r="B85" s="30" t="s">
        <v>70</v>
      </c>
      <c r="C85" s="30" t="s">
        <v>99</v>
      </c>
      <c r="D85" s="31" t="s">
        <v>472</v>
      </c>
      <c r="E85" s="31" t="s">
        <v>382</v>
      </c>
      <c r="F85" s="32">
        <v>45904</v>
      </c>
      <c r="G85" s="32">
        <v>45925</v>
      </c>
      <c r="H85" s="20">
        <v>3074.64</v>
      </c>
      <c r="J85" s="8">
        <f>3149-187.36</f>
        <v>2961.64</v>
      </c>
      <c r="K85" s="8">
        <v>0</v>
      </c>
      <c r="L85" s="8">
        <v>113</v>
      </c>
      <c r="N85" s="8">
        <f t="shared" si="1"/>
        <v>3074.64</v>
      </c>
      <c r="Q85" s="23"/>
    </row>
    <row r="86" spans="1:19" x14ac:dyDescent="0.25">
      <c r="A86" s="29" t="s">
        <v>69</v>
      </c>
      <c r="B86" s="30" t="s">
        <v>70</v>
      </c>
      <c r="C86" s="30" t="s">
        <v>100</v>
      </c>
      <c r="D86" s="31" t="s">
        <v>473</v>
      </c>
      <c r="E86" s="31" t="s">
        <v>382</v>
      </c>
      <c r="F86" s="32">
        <v>45904</v>
      </c>
      <c r="G86" s="32">
        <v>45925</v>
      </c>
      <c r="H86" s="20">
        <v>336.77</v>
      </c>
      <c r="J86" s="8">
        <f>340-20.23</f>
        <v>319.77</v>
      </c>
      <c r="K86" s="8">
        <v>0</v>
      </c>
      <c r="L86" s="8">
        <v>17</v>
      </c>
      <c r="N86" s="8">
        <f t="shared" si="1"/>
        <v>336.77</v>
      </c>
      <c r="Q86" s="23"/>
    </row>
    <row r="87" spans="1:19" x14ac:dyDescent="0.25">
      <c r="A87" s="29" t="s">
        <v>69</v>
      </c>
      <c r="B87" s="30" t="s">
        <v>70</v>
      </c>
      <c r="C87" s="30" t="s">
        <v>101</v>
      </c>
      <c r="D87" s="31" t="s">
        <v>474</v>
      </c>
      <c r="E87" s="31" t="s">
        <v>382</v>
      </c>
      <c r="F87" s="32">
        <v>45904</v>
      </c>
      <c r="G87" s="32">
        <v>45925</v>
      </c>
      <c r="H87" s="20">
        <v>1160.5999999999999</v>
      </c>
      <c r="J87" s="8">
        <f>1200-71.4</f>
        <v>1128.5999999999999</v>
      </c>
      <c r="K87" s="8">
        <v>0</v>
      </c>
      <c r="L87" s="8">
        <v>32</v>
      </c>
      <c r="N87" s="8">
        <f t="shared" si="1"/>
        <v>1160.5999999999999</v>
      </c>
      <c r="Q87" s="23"/>
    </row>
    <row r="88" spans="1:19" x14ac:dyDescent="0.25">
      <c r="A88" s="29" t="s">
        <v>69</v>
      </c>
      <c r="B88" s="30" t="s">
        <v>70</v>
      </c>
      <c r="C88" s="30" t="s">
        <v>102</v>
      </c>
      <c r="D88" s="31" t="s">
        <v>475</v>
      </c>
      <c r="E88" s="31" t="s">
        <v>382</v>
      </c>
      <c r="F88" s="32">
        <v>45904</v>
      </c>
      <c r="G88" s="32">
        <v>45925</v>
      </c>
      <c r="H88" s="20">
        <v>211.15</v>
      </c>
      <c r="J88" s="8">
        <f>216-12.85</f>
        <v>203.15</v>
      </c>
      <c r="K88" s="8">
        <v>0</v>
      </c>
      <c r="L88" s="8">
        <v>8</v>
      </c>
      <c r="N88" s="8">
        <f t="shared" si="1"/>
        <v>211.15</v>
      </c>
      <c r="Q88" s="23"/>
    </row>
    <row r="89" spans="1:19" x14ac:dyDescent="0.25">
      <c r="A89" s="29" t="s">
        <v>69</v>
      </c>
      <c r="B89" s="30" t="s">
        <v>70</v>
      </c>
      <c r="C89" s="30" t="s">
        <v>103</v>
      </c>
      <c r="D89" s="31" t="s">
        <v>476</v>
      </c>
      <c r="E89" s="31" t="s">
        <v>382</v>
      </c>
      <c r="F89" s="32">
        <v>45904</v>
      </c>
      <c r="G89" s="32">
        <v>45925</v>
      </c>
      <c r="H89" s="20">
        <v>5123.16</v>
      </c>
      <c r="I89" s="4"/>
      <c r="J89" s="8">
        <f>3708-220.64</f>
        <v>3487.36</v>
      </c>
      <c r="K89" s="8">
        <v>1140</v>
      </c>
      <c r="L89" s="8">
        <f>188+307.8</f>
        <v>495.8</v>
      </c>
      <c r="N89" s="8">
        <f t="shared" si="1"/>
        <v>5123.1600000000008</v>
      </c>
    </row>
    <row r="90" spans="1:19" x14ac:dyDescent="0.25">
      <c r="A90" s="29" t="s">
        <v>104</v>
      </c>
      <c r="B90" s="30" t="s">
        <v>105</v>
      </c>
      <c r="C90" s="30" t="s">
        <v>106</v>
      </c>
      <c r="D90" s="31" t="s">
        <v>477</v>
      </c>
      <c r="E90" s="31" t="s">
        <v>382</v>
      </c>
      <c r="F90" s="32">
        <v>45904</v>
      </c>
      <c r="G90" s="32">
        <v>45924</v>
      </c>
      <c r="H90" s="20">
        <v>123.62</v>
      </c>
      <c r="J90" s="8">
        <f>124-7.38</f>
        <v>116.62</v>
      </c>
      <c r="K90" s="8">
        <v>0</v>
      </c>
      <c r="L90" s="8">
        <v>7</v>
      </c>
      <c r="N90" s="8">
        <f t="shared" si="1"/>
        <v>123.62</v>
      </c>
    </row>
    <row r="91" spans="1:19" x14ac:dyDescent="0.25">
      <c r="A91" s="29" t="s">
        <v>104</v>
      </c>
      <c r="B91" s="30" t="s">
        <v>105</v>
      </c>
      <c r="C91" s="30" t="s">
        <v>107</v>
      </c>
      <c r="D91" s="31" t="s">
        <v>478</v>
      </c>
      <c r="E91" s="31" t="s">
        <v>382</v>
      </c>
      <c r="F91" s="32">
        <v>45904</v>
      </c>
      <c r="G91" s="32">
        <v>45924</v>
      </c>
      <c r="H91" s="20">
        <v>884.16</v>
      </c>
      <c r="I91" s="4"/>
      <c r="J91" s="8">
        <f>888-52.84</f>
        <v>835.16</v>
      </c>
      <c r="K91" s="8">
        <v>0</v>
      </c>
      <c r="L91" s="8">
        <v>49</v>
      </c>
      <c r="N91" s="8">
        <f t="shared" si="1"/>
        <v>884.16</v>
      </c>
    </row>
    <row r="92" spans="1:19" x14ac:dyDescent="0.25">
      <c r="A92" s="60" t="s">
        <v>108</v>
      </c>
      <c r="B92" s="61" t="s">
        <v>109</v>
      </c>
      <c r="C92" s="61" t="s">
        <v>110</v>
      </c>
      <c r="D92" s="62" t="s">
        <v>479</v>
      </c>
      <c r="E92" s="62" t="s">
        <v>382</v>
      </c>
      <c r="F92" s="63">
        <v>45904</v>
      </c>
      <c r="G92" s="63">
        <v>45924</v>
      </c>
      <c r="H92" s="27">
        <v>2130.96</v>
      </c>
      <c r="I92" s="51">
        <f>SUM(H57:H92)</f>
        <v>37714.5</v>
      </c>
      <c r="J92" s="28">
        <f>2202-131.04</f>
        <v>2070.96</v>
      </c>
      <c r="K92" s="28">
        <v>0</v>
      </c>
      <c r="L92" s="28">
        <v>60</v>
      </c>
      <c r="M92" s="28"/>
      <c r="N92" s="28">
        <f t="shared" si="1"/>
        <v>2130.96</v>
      </c>
      <c r="O92" s="26"/>
      <c r="P92" s="26"/>
      <c r="R92" s="74" t="s">
        <v>665</v>
      </c>
      <c r="S92" s="24" t="s">
        <v>664</v>
      </c>
    </row>
    <row r="93" spans="1:19" x14ac:dyDescent="0.25">
      <c r="A93" s="7" t="s">
        <v>111</v>
      </c>
      <c r="B93" s="17" t="s">
        <v>112</v>
      </c>
      <c r="C93" s="17" t="s">
        <v>113</v>
      </c>
      <c r="D93" s="18" t="s">
        <v>480</v>
      </c>
      <c r="E93" s="18" t="s">
        <v>382</v>
      </c>
      <c r="F93" s="19">
        <v>45874</v>
      </c>
      <c r="G93" s="19">
        <v>45903</v>
      </c>
      <c r="H93" s="16">
        <v>154.09</v>
      </c>
      <c r="I93" s="7"/>
      <c r="N93" s="8">
        <f>SUM(J93:L93)</f>
        <v>0</v>
      </c>
    </row>
    <row r="94" spans="1:19" x14ac:dyDescent="0.25">
      <c r="A94" s="7" t="s">
        <v>111</v>
      </c>
      <c r="B94" s="17" t="s">
        <v>112</v>
      </c>
      <c r="C94" s="17" t="s">
        <v>114</v>
      </c>
      <c r="D94" s="18"/>
      <c r="E94" s="18"/>
      <c r="F94" s="19">
        <v>45751</v>
      </c>
      <c r="G94" s="19">
        <v>45751</v>
      </c>
      <c r="H94" s="16">
        <v>-337.68</v>
      </c>
      <c r="I94" s="7"/>
      <c r="N94" s="8">
        <f t="shared" si="1"/>
        <v>0</v>
      </c>
    </row>
    <row r="95" spans="1:19" x14ac:dyDescent="0.25">
      <c r="A95" s="7" t="s">
        <v>111</v>
      </c>
      <c r="B95" s="17" t="s">
        <v>112</v>
      </c>
      <c r="C95" s="17" t="s">
        <v>115</v>
      </c>
      <c r="D95" s="18"/>
      <c r="E95" s="18"/>
      <c r="F95" s="19">
        <v>45617</v>
      </c>
      <c r="G95" s="19">
        <v>45617</v>
      </c>
      <c r="H95" s="16">
        <v>-350</v>
      </c>
      <c r="I95" s="7"/>
      <c r="N95" s="8">
        <f t="shared" si="1"/>
        <v>0</v>
      </c>
    </row>
    <row r="96" spans="1:19" x14ac:dyDescent="0.25">
      <c r="A96" s="7" t="s">
        <v>111</v>
      </c>
      <c r="B96" s="17" t="s">
        <v>112</v>
      </c>
      <c r="C96" s="17" t="s">
        <v>116</v>
      </c>
      <c r="D96" s="18"/>
      <c r="E96" s="18"/>
      <c r="F96" s="19">
        <v>45747</v>
      </c>
      <c r="G96" s="19">
        <v>45747</v>
      </c>
      <c r="H96" s="16">
        <v>-248.64</v>
      </c>
      <c r="I96" s="7"/>
      <c r="N96" s="8">
        <f t="shared" si="1"/>
        <v>0</v>
      </c>
    </row>
    <row r="97" spans="1:19" x14ac:dyDescent="0.25">
      <c r="A97" s="34" t="s">
        <v>111</v>
      </c>
      <c r="B97" s="35" t="s">
        <v>112</v>
      </c>
      <c r="C97" s="35" t="s">
        <v>117</v>
      </c>
      <c r="D97" s="36"/>
      <c r="E97" s="36"/>
      <c r="F97" s="37">
        <v>45573</v>
      </c>
      <c r="G97" s="37">
        <v>45573</v>
      </c>
      <c r="H97" s="38">
        <v>-464.26</v>
      </c>
      <c r="I97" s="38">
        <f>SUM(H93:H97)</f>
        <v>-1246.49</v>
      </c>
      <c r="J97" s="28"/>
      <c r="K97" s="28"/>
      <c r="L97" s="28"/>
      <c r="M97" s="28"/>
      <c r="N97" s="28">
        <f t="shared" si="1"/>
        <v>0</v>
      </c>
      <c r="O97" s="26"/>
      <c r="P97" s="26"/>
    </row>
    <row r="98" spans="1:19" x14ac:dyDescent="0.25">
      <c r="A98" s="34" t="s">
        <v>118</v>
      </c>
      <c r="B98" s="35" t="s">
        <v>119</v>
      </c>
      <c r="C98" s="35" t="s">
        <v>120</v>
      </c>
      <c r="D98" s="36"/>
      <c r="E98" s="36"/>
      <c r="F98" s="37">
        <v>45314</v>
      </c>
      <c r="G98" s="37">
        <v>45314</v>
      </c>
      <c r="H98" s="38">
        <v>-476</v>
      </c>
      <c r="I98" s="38">
        <f>SUM(H98)</f>
        <v>-476</v>
      </c>
      <c r="J98" s="28"/>
      <c r="K98" s="28"/>
      <c r="L98" s="28"/>
      <c r="M98" s="28"/>
      <c r="N98" s="28">
        <f t="shared" si="1"/>
        <v>0</v>
      </c>
      <c r="O98" s="26"/>
      <c r="P98" s="26"/>
    </row>
    <row r="99" spans="1:19" x14ac:dyDescent="0.25">
      <c r="A99" s="29" t="s">
        <v>121</v>
      </c>
      <c r="B99" s="30" t="s">
        <v>122</v>
      </c>
      <c r="C99" s="30" t="s">
        <v>123</v>
      </c>
      <c r="D99" s="31" t="s">
        <v>481</v>
      </c>
      <c r="E99" s="31"/>
      <c r="F99" s="32">
        <v>45852</v>
      </c>
      <c r="G99" s="32">
        <v>45931</v>
      </c>
      <c r="H99" s="20">
        <v>4119.4399999999996</v>
      </c>
      <c r="J99" s="8">
        <v>3770</v>
      </c>
      <c r="K99" s="8">
        <v>349.44</v>
      </c>
      <c r="N99" s="8">
        <f t="shared" si="1"/>
        <v>4119.4399999999996</v>
      </c>
    </row>
    <row r="100" spans="1:19" x14ac:dyDescent="0.25">
      <c r="A100" s="29" t="s">
        <v>121</v>
      </c>
      <c r="B100" s="30" t="s">
        <v>122</v>
      </c>
      <c r="C100" s="30" t="s">
        <v>124</v>
      </c>
      <c r="D100" s="31" t="s">
        <v>481</v>
      </c>
      <c r="E100" s="31"/>
      <c r="F100" s="32">
        <v>45866</v>
      </c>
      <c r="G100" s="32">
        <v>45945</v>
      </c>
      <c r="H100" s="20">
        <v>414.01</v>
      </c>
      <c r="J100" s="8">
        <v>382</v>
      </c>
      <c r="K100" s="8">
        <v>32.01</v>
      </c>
      <c r="N100" s="8">
        <f t="shared" si="1"/>
        <v>414.01</v>
      </c>
    </row>
    <row r="101" spans="1:19" x14ac:dyDescent="0.25">
      <c r="A101" s="29" t="s">
        <v>121</v>
      </c>
      <c r="B101" s="30" t="s">
        <v>122</v>
      </c>
      <c r="C101" s="30" t="s">
        <v>125</v>
      </c>
      <c r="D101" s="31" t="s">
        <v>482</v>
      </c>
      <c r="E101" s="31"/>
      <c r="F101" s="32">
        <v>45876</v>
      </c>
      <c r="G101" s="32">
        <v>45959</v>
      </c>
      <c r="H101" s="20">
        <v>6942.91</v>
      </c>
      <c r="J101" s="8">
        <v>6439</v>
      </c>
      <c r="K101" s="8">
        <v>503.91</v>
      </c>
      <c r="N101" s="8">
        <f t="shared" si="1"/>
        <v>6942.91</v>
      </c>
    </row>
    <row r="102" spans="1:19" x14ac:dyDescent="0.25">
      <c r="A102" s="29" t="s">
        <v>121</v>
      </c>
      <c r="B102" s="30" t="s">
        <v>122</v>
      </c>
      <c r="C102" s="30" t="s">
        <v>126</v>
      </c>
      <c r="D102" s="31" t="s">
        <v>483</v>
      </c>
      <c r="E102" s="31"/>
      <c r="F102" s="32">
        <v>45888</v>
      </c>
      <c r="G102" s="32">
        <v>45973</v>
      </c>
      <c r="H102" s="20">
        <v>18640.28</v>
      </c>
      <c r="J102" s="8">
        <v>17704</v>
      </c>
      <c r="K102" s="8">
        <v>936.28</v>
      </c>
      <c r="N102" s="8">
        <f t="shared" si="1"/>
        <v>18640.28</v>
      </c>
    </row>
    <row r="103" spans="1:19" x14ac:dyDescent="0.25">
      <c r="A103" s="60" t="s">
        <v>121</v>
      </c>
      <c r="B103" s="61" t="s">
        <v>122</v>
      </c>
      <c r="C103" s="61" t="s">
        <v>127</v>
      </c>
      <c r="D103" s="62" t="s">
        <v>484</v>
      </c>
      <c r="E103" s="62"/>
      <c r="F103" s="63">
        <v>45903</v>
      </c>
      <c r="G103" s="63">
        <v>45924</v>
      </c>
      <c r="H103" s="27">
        <v>15.29</v>
      </c>
      <c r="I103" s="51">
        <f>SUM(H99:H103)</f>
        <v>30131.93</v>
      </c>
      <c r="J103" s="28"/>
      <c r="K103" s="28">
        <v>15.29</v>
      </c>
      <c r="L103" s="28"/>
      <c r="M103" s="28"/>
      <c r="N103" s="28">
        <f t="shared" si="1"/>
        <v>15.29</v>
      </c>
      <c r="O103" s="55">
        <v>45938</v>
      </c>
      <c r="P103" s="26">
        <v>346497</v>
      </c>
      <c r="R103" s="24">
        <v>1077149</v>
      </c>
      <c r="S103" s="24" t="s">
        <v>664</v>
      </c>
    </row>
    <row r="104" spans="1:19" x14ac:dyDescent="0.25">
      <c r="A104" s="29" t="s">
        <v>131</v>
      </c>
      <c r="B104" s="30" t="s">
        <v>132</v>
      </c>
      <c r="C104" s="30" t="s">
        <v>133</v>
      </c>
      <c r="D104" s="31" t="s">
        <v>485</v>
      </c>
      <c r="E104" s="31"/>
      <c r="F104" s="32">
        <v>45896</v>
      </c>
      <c r="G104" s="32">
        <v>45917</v>
      </c>
      <c r="H104" s="20">
        <v>3141.79</v>
      </c>
      <c r="J104" s="8">
        <f>3141.79-21.23-290.12</f>
        <v>2830.44</v>
      </c>
      <c r="K104" s="8">
        <f>21.23+290.12</f>
        <v>311.35000000000002</v>
      </c>
      <c r="N104" s="8">
        <f t="shared" si="1"/>
        <v>3141.79</v>
      </c>
    </row>
    <row r="105" spans="1:19" x14ac:dyDescent="0.25">
      <c r="A105" s="29" t="s">
        <v>128</v>
      </c>
      <c r="B105" s="30" t="s">
        <v>129</v>
      </c>
      <c r="C105" s="30" t="s">
        <v>130</v>
      </c>
      <c r="D105" s="31"/>
      <c r="E105" s="31"/>
      <c r="F105" s="32">
        <v>45897</v>
      </c>
      <c r="G105" s="32">
        <v>45917</v>
      </c>
      <c r="H105" s="20">
        <v>5453.2</v>
      </c>
      <c r="I105" s="4"/>
      <c r="N105" s="8">
        <f>SUM(J105:L105)</f>
        <v>0</v>
      </c>
    </row>
    <row r="106" spans="1:19" x14ac:dyDescent="0.25">
      <c r="A106" s="29" t="s">
        <v>131</v>
      </c>
      <c r="B106" s="30" t="s">
        <v>132</v>
      </c>
      <c r="C106" s="30" t="s">
        <v>130</v>
      </c>
      <c r="D106" s="31"/>
      <c r="E106" s="31"/>
      <c r="F106" s="32">
        <v>45897</v>
      </c>
      <c r="G106" s="32">
        <v>45917</v>
      </c>
      <c r="H106" s="20">
        <v>9237.2999999999993</v>
      </c>
      <c r="N106" s="8">
        <f t="shared" si="1"/>
        <v>0</v>
      </c>
    </row>
    <row r="107" spans="1:19" x14ac:dyDescent="0.25">
      <c r="A107" s="29" t="s">
        <v>131</v>
      </c>
      <c r="B107" s="30" t="s">
        <v>132</v>
      </c>
      <c r="C107" s="30" t="s">
        <v>134</v>
      </c>
      <c r="D107" s="31"/>
      <c r="E107" s="31"/>
      <c r="F107" s="32">
        <v>45897</v>
      </c>
      <c r="G107" s="32">
        <v>45917</v>
      </c>
      <c r="H107" s="20">
        <v>5344.25</v>
      </c>
      <c r="N107" s="8">
        <f t="shared" si="1"/>
        <v>0</v>
      </c>
    </row>
    <row r="108" spans="1:19" x14ac:dyDescent="0.25">
      <c r="A108" s="60" t="s">
        <v>131</v>
      </c>
      <c r="B108" s="61" t="s">
        <v>132</v>
      </c>
      <c r="C108" s="61" t="s">
        <v>135</v>
      </c>
      <c r="D108" s="62"/>
      <c r="E108" s="62"/>
      <c r="F108" s="63">
        <v>45897</v>
      </c>
      <c r="G108" s="63">
        <v>45917</v>
      </c>
      <c r="H108" s="27">
        <v>4190.12</v>
      </c>
      <c r="I108" s="51">
        <f>SUM(H104:H108)</f>
        <v>27366.66</v>
      </c>
      <c r="J108" s="28">
        <f>24224.87-165.33-2015.79</f>
        <v>22043.749999999996</v>
      </c>
      <c r="K108" s="28">
        <f>165.33+2015.79</f>
        <v>2181.12</v>
      </c>
      <c r="L108" s="28"/>
      <c r="M108" s="28"/>
      <c r="N108" s="28">
        <f t="shared" si="1"/>
        <v>24224.869999999995</v>
      </c>
      <c r="O108" s="55">
        <v>45938</v>
      </c>
      <c r="P108" s="26">
        <v>346485</v>
      </c>
      <c r="R108" s="24">
        <v>1077150</v>
      </c>
      <c r="S108" s="24" t="s">
        <v>664</v>
      </c>
    </row>
    <row r="109" spans="1:19" x14ac:dyDescent="0.25">
      <c r="A109" s="29" t="s">
        <v>136</v>
      </c>
      <c r="B109" s="30" t="s">
        <v>137</v>
      </c>
      <c r="C109" s="30" t="s">
        <v>138</v>
      </c>
      <c r="D109" s="31" t="s">
        <v>486</v>
      </c>
      <c r="E109" s="31"/>
      <c r="F109" s="32">
        <v>45896</v>
      </c>
      <c r="G109" s="32">
        <v>45917</v>
      </c>
      <c r="H109" s="20">
        <v>1000.64</v>
      </c>
      <c r="I109" s="52">
        <f>SUM(H109)</f>
        <v>1000.64</v>
      </c>
      <c r="J109" s="33">
        <v>936</v>
      </c>
      <c r="K109" s="33">
        <v>64.64</v>
      </c>
      <c r="L109" s="33"/>
      <c r="M109" s="33"/>
      <c r="N109" s="33">
        <f t="shared" si="1"/>
        <v>1000.64</v>
      </c>
      <c r="O109" s="55">
        <v>45938</v>
      </c>
      <c r="P109" s="26">
        <v>346476</v>
      </c>
      <c r="R109" s="24">
        <v>1077152</v>
      </c>
      <c r="S109" s="24" t="s">
        <v>664</v>
      </c>
    </row>
    <row r="110" spans="1:19" x14ac:dyDescent="0.25">
      <c r="A110" s="29" t="s">
        <v>139</v>
      </c>
      <c r="B110" s="30" t="s">
        <v>140</v>
      </c>
      <c r="C110" s="30" t="s">
        <v>141</v>
      </c>
      <c r="D110" s="31" t="s">
        <v>487</v>
      </c>
      <c r="E110" s="31"/>
      <c r="F110" s="32">
        <v>45905</v>
      </c>
      <c r="G110" s="32">
        <v>45959</v>
      </c>
      <c r="H110" s="20">
        <v>7080</v>
      </c>
      <c r="J110" s="8">
        <v>7080</v>
      </c>
      <c r="N110" s="8">
        <f t="shared" si="1"/>
        <v>7080</v>
      </c>
    </row>
    <row r="111" spans="1:19" x14ac:dyDescent="0.25">
      <c r="A111" s="29" t="s">
        <v>139</v>
      </c>
      <c r="B111" s="30" t="s">
        <v>140</v>
      </c>
      <c r="C111" s="30" t="s">
        <v>142</v>
      </c>
      <c r="D111" s="31" t="s">
        <v>488</v>
      </c>
      <c r="E111" s="31"/>
      <c r="F111" s="32">
        <v>45905</v>
      </c>
      <c r="G111" s="32">
        <v>45959</v>
      </c>
      <c r="H111" s="20">
        <v>9631</v>
      </c>
      <c r="J111" s="8">
        <v>9631</v>
      </c>
      <c r="N111" s="8">
        <f t="shared" si="1"/>
        <v>9631</v>
      </c>
    </row>
    <row r="112" spans="1:19" x14ac:dyDescent="0.25">
      <c r="A112" s="29" t="s">
        <v>139</v>
      </c>
      <c r="B112" s="30" t="s">
        <v>140</v>
      </c>
      <c r="C112" s="30" t="s">
        <v>143</v>
      </c>
      <c r="D112" s="31" t="s">
        <v>489</v>
      </c>
      <c r="E112" s="31"/>
      <c r="F112" s="32">
        <v>45905</v>
      </c>
      <c r="G112" s="32">
        <v>45959</v>
      </c>
      <c r="H112" s="20">
        <v>860</v>
      </c>
      <c r="J112" s="8">
        <v>860</v>
      </c>
      <c r="N112" s="8">
        <f t="shared" si="1"/>
        <v>860</v>
      </c>
    </row>
    <row r="113" spans="1:19" x14ac:dyDescent="0.25">
      <c r="A113" s="29" t="s">
        <v>139</v>
      </c>
      <c r="B113" s="30" t="s">
        <v>140</v>
      </c>
      <c r="C113" s="30" t="s">
        <v>144</v>
      </c>
      <c r="D113" s="31" t="s">
        <v>490</v>
      </c>
      <c r="E113" s="31"/>
      <c r="F113" s="32">
        <v>45905</v>
      </c>
      <c r="G113" s="32">
        <v>45959</v>
      </c>
      <c r="H113" s="20">
        <v>1172</v>
      </c>
      <c r="J113" s="8">
        <v>1172</v>
      </c>
      <c r="N113" s="8">
        <f t="shared" si="1"/>
        <v>1172</v>
      </c>
    </row>
    <row r="114" spans="1:19" x14ac:dyDescent="0.25">
      <c r="A114" s="29" t="s">
        <v>139</v>
      </c>
      <c r="B114" s="30" t="s">
        <v>140</v>
      </c>
      <c r="C114" s="30" t="s">
        <v>145</v>
      </c>
      <c r="D114" s="31" t="s">
        <v>491</v>
      </c>
      <c r="E114" s="31"/>
      <c r="F114" s="32">
        <v>45905</v>
      </c>
      <c r="G114" s="32">
        <v>45959</v>
      </c>
      <c r="H114" s="20">
        <v>1710</v>
      </c>
      <c r="J114" s="8">
        <v>1710</v>
      </c>
      <c r="N114" s="8">
        <f t="shared" si="1"/>
        <v>1710</v>
      </c>
    </row>
    <row r="115" spans="1:19" x14ac:dyDescent="0.25">
      <c r="A115" s="29" t="s">
        <v>139</v>
      </c>
      <c r="B115" s="30" t="s">
        <v>140</v>
      </c>
      <c r="C115" s="30" t="s">
        <v>146</v>
      </c>
      <c r="D115" s="31" t="s">
        <v>492</v>
      </c>
      <c r="E115" s="31"/>
      <c r="F115" s="32">
        <v>45905</v>
      </c>
      <c r="G115" s="32">
        <v>45959</v>
      </c>
      <c r="H115" s="20">
        <v>7579</v>
      </c>
      <c r="J115" s="8">
        <v>7579</v>
      </c>
      <c r="N115" s="8">
        <f t="shared" si="1"/>
        <v>7579</v>
      </c>
    </row>
    <row r="116" spans="1:19" x14ac:dyDescent="0.25">
      <c r="A116" s="29" t="s">
        <v>139</v>
      </c>
      <c r="B116" s="30" t="s">
        <v>140</v>
      </c>
      <c r="C116" s="30" t="s">
        <v>147</v>
      </c>
      <c r="D116" s="31" t="s">
        <v>493</v>
      </c>
      <c r="E116" s="31"/>
      <c r="F116" s="32">
        <v>45905</v>
      </c>
      <c r="G116" s="32">
        <v>45959</v>
      </c>
      <c r="H116" s="20">
        <v>1855</v>
      </c>
      <c r="J116" s="8">
        <v>1855</v>
      </c>
      <c r="N116" s="8">
        <f t="shared" si="1"/>
        <v>1855</v>
      </c>
    </row>
    <row r="117" spans="1:19" x14ac:dyDescent="0.25">
      <c r="A117" s="60" t="s">
        <v>139</v>
      </c>
      <c r="B117" s="61" t="s">
        <v>140</v>
      </c>
      <c r="C117" s="61" t="s">
        <v>148</v>
      </c>
      <c r="D117" s="62" t="s">
        <v>494</v>
      </c>
      <c r="E117" s="62"/>
      <c r="F117" s="63">
        <v>45905</v>
      </c>
      <c r="G117" s="63">
        <v>45959</v>
      </c>
      <c r="H117" s="27">
        <v>9094</v>
      </c>
      <c r="I117" s="51">
        <f>SUM(H110:H117)</f>
        <v>38981</v>
      </c>
      <c r="J117" s="28">
        <v>9094</v>
      </c>
      <c r="K117" s="28"/>
      <c r="L117" s="28"/>
      <c r="M117" s="28"/>
      <c r="N117" s="28">
        <f t="shared" si="1"/>
        <v>9094</v>
      </c>
      <c r="O117" s="55">
        <v>45938</v>
      </c>
      <c r="P117" s="26">
        <v>346486</v>
      </c>
      <c r="R117" s="24">
        <v>1077153</v>
      </c>
      <c r="S117" s="24" t="s">
        <v>664</v>
      </c>
    </row>
    <row r="118" spans="1:19" x14ac:dyDescent="0.25">
      <c r="A118" s="29" t="s">
        <v>149</v>
      </c>
      <c r="B118" s="30" t="s">
        <v>150</v>
      </c>
      <c r="C118" s="30" t="s">
        <v>151</v>
      </c>
      <c r="D118" s="31"/>
      <c r="E118" s="31"/>
      <c r="F118" s="32">
        <v>45855</v>
      </c>
      <c r="G118" s="32">
        <v>45855</v>
      </c>
      <c r="H118" s="20">
        <v>-3500</v>
      </c>
      <c r="J118" s="8">
        <v>-3500</v>
      </c>
      <c r="N118" s="8">
        <f t="shared" si="1"/>
        <v>-3500</v>
      </c>
    </row>
    <row r="119" spans="1:19" x14ac:dyDescent="0.25">
      <c r="A119" s="29" t="s">
        <v>149</v>
      </c>
      <c r="B119" s="30" t="s">
        <v>150</v>
      </c>
      <c r="C119" s="30" t="s">
        <v>152</v>
      </c>
      <c r="D119" s="31" t="s">
        <v>495</v>
      </c>
      <c r="E119" s="31"/>
      <c r="F119" s="32">
        <v>45895</v>
      </c>
      <c r="G119" s="32">
        <v>45917</v>
      </c>
      <c r="H119" s="20">
        <v>6193.96</v>
      </c>
      <c r="J119" s="8">
        <f>5850</f>
        <v>5850</v>
      </c>
      <c r="K119" s="8">
        <v>343.96</v>
      </c>
      <c r="N119" s="8">
        <f t="shared" si="1"/>
        <v>6193.96</v>
      </c>
    </row>
    <row r="120" spans="1:19" x14ac:dyDescent="0.25">
      <c r="A120" s="29" t="s">
        <v>149</v>
      </c>
      <c r="B120" s="30" t="s">
        <v>150</v>
      </c>
      <c r="C120" s="30" t="s">
        <v>153</v>
      </c>
      <c r="D120" s="31" t="s">
        <v>496</v>
      </c>
      <c r="E120" s="31"/>
      <c r="F120" s="32">
        <v>45895</v>
      </c>
      <c r="G120" s="32">
        <v>45917</v>
      </c>
      <c r="H120" s="20">
        <v>15787.94</v>
      </c>
      <c r="J120" s="8">
        <v>15000</v>
      </c>
      <c r="K120" s="8">
        <v>787.94</v>
      </c>
      <c r="N120" s="8">
        <f t="shared" si="1"/>
        <v>15787.94</v>
      </c>
    </row>
    <row r="121" spans="1:19" x14ac:dyDescent="0.25">
      <c r="A121" s="29" t="s">
        <v>149</v>
      </c>
      <c r="B121" s="30" t="s">
        <v>150</v>
      </c>
      <c r="C121" s="30" t="s">
        <v>154</v>
      </c>
      <c r="D121" s="31" t="s">
        <v>497</v>
      </c>
      <c r="E121" s="31"/>
      <c r="F121" s="32">
        <v>45895</v>
      </c>
      <c r="G121" s="32">
        <v>45917</v>
      </c>
      <c r="H121" s="20">
        <v>7668</v>
      </c>
      <c r="J121" s="8">
        <v>7200</v>
      </c>
      <c r="K121" s="8">
        <v>468</v>
      </c>
      <c r="N121" s="8">
        <f t="shared" ref="N121:N184" si="2">SUM(J121:L121)</f>
        <v>7668</v>
      </c>
    </row>
    <row r="122" spans="1:19" x14ac:dyDescent="0.25">
      <c r="A122" s="60" t="s">
        <v>149</v>
      </c>
      <c r="B122" s="61" t="s">
        <v>150</v>
      </c>
      <c r="C122" s="61" t="s">
        <v>155</v>
      </c>
      <c r="D122" s="62" t="s">
        <v>498</v>
      </c>
      <c r="E122" s="62"/>
      <c r="F122" s="63">
        <v>45898</v>
      </c>
      <c r="G122" s="63">
        <v>45917</v>
      </c>
      <c r="H122" s="27">
        <v>2045</v>
      </c>
      <c r="I122" s="51">
        <f>SUM(H118:H122)</f>
        <v>28194.9</v>
      </c>
      <c r="J122" s="28">
        <v>1750</v>
      </c>
      <c r="K122" s="28">
        <v>295</v>
      </c>
      <c r="L122" s="28"/>
      <c r="M122" s="28"/>
      <c r="N122" s="28">
        <f t="shared" si="2"/>
        <v>2045</v>
      </c>
      <c r="O122" s="55">
        <v>45938</v>
      </c>
      <c r="P122" s="26">
        <v>346487</v>
      </c>
      <c r="R122" s="24">
        <v>1077154</v>
      </c>
      <c r="S122" s="24" t="s">
        <v>664</v>
      </c>
    </row>
    <row r="123" spans="1:19" x14ac:dyDescent="0.25">
      <c r="A123" s="29" t="s">
        <v>156</v>
      </c>
      <c r="B123" s="30" t="s">
        <v>157</v>
      </c>
      <c r="C123" s="30" t="s">
        <v>158</v>
      </c>
      <c r="D123" s="31" t="s">
        <v>499</v>
      </c>
      <c r="E123" s="31"/>
      <c r="F123" s="32">
        <v>45873</v>
      </c>
      <c r="G123" s="32">
        <v>45924</v>
      </c>
      <c r="H123" s="20">
        <v>2025.43</v>
      </c>
      <c r="J123" s="8">
        <f>2109.82-421.96</f>
        <v>1687.8600000000001</v>
      </c>
      <c r="K123" s="8">
        <v>337.57</v>
      </c>
      <c r="N123" s="8">
        <f t="shared" si="2"/>
        <v>2025.43</v>
      </c>
    </row>
    <row r="124" spans="1:19" x14ac:dyDescent="0.25">
      <c r="A124" s="29" t="s">
        <v>156</v>
      </c>
      <c r="B124" s="30" t="s">
        <v>157</v>
      </c>
      <c r="C124" s="30" t="s">
        <v>159</v>
      </c>
      <c r="D124" s="31" t="s">
        <v>500</v>
      </c>
      <c r="E124" s="31"/>
      <c r="F124" s="32">
        <v>45873</v>
      </c>
      <c r="G124" s="32">
        <v>45924</v>
      </c>
      <c r="H124" s="20">
        <v>552.9</v>
      </c>
      <c r="J124" s="8">
        <f>575.94-115.19</f>
        <v>460.75000000000006</v>
      </c>
      <c r="K124" s="8">
        <v>92.15</v>
      </c>
      <c r="N124" s="8">
        <f t="shared" si="2"/>
        <v>552.90000000000009</v>
      </c>
    </row>
    <row r="125" spans="1:19" x14ac:dyDescent="0.25">
      <c r="A125" s="29" t="s">
        <v>156</v>
      </c>
      <c r="B125" s="30" t="s">
        <v>157</v>
      </c>
      <c r="C125" s="30" t="s">
        <v>160</v>
      </c>
      <c r="D125" s="31" t="s">
        <v>501</v>
      </c>
      <c r="E125" s="31"/>
      <c r="F125" s="32">
        <v>45873</v>
      </c>
      <c r="G125" s="32">
        <v>45924</v>
      </c>
      <c r="H125" s="20">
        <v>368.6</v>
      </c>
      <c r="J125" s="8">
        <f>383.96-76.79</f>
        <v>307.16999999999996</v>
      </c>
      <c r="K125" s="8">
        <v>61.43</v>
      </c>
      <c r="N125" s="8">
        <f t="shared" si="2"/>
        <v>368.59999999999997</v>
      </c>
    </row>
    <row r="126" spans="1:19" x14ac:dyDescent="0.25">
      <c r="A126" s="60" t="s">
        <v>156</v>
      </c>
      <c r="B126" s="61" t="s">
        <v>157</v>
      </c>
      <c r="C126" s="61" t="s">
        <v>161</v>
      </c>
      <c r="D126" s="62" t="s">
        <v>502</v>
      </c>
      <c r="E126" s="62"/>
      <c r="F126" s="63">
        <v>45873</v>
      </c>
      <c r="G126" s="63">
        <v>45924</v>
      </c>
      <c r="H126" s="27">
        <v>184.3</v>
      </c>
      <c r="I126" s="51">
        <f>SUM(H123:H126)</f>
        <v>3131.23</v>
      </c>
      <c r="J126" s="28">
        <f>191.98-38.4</f>
        <v>153.57999999999998</v>
      </c>
      <c r="K126" s="28">
        <v>30.72</v>
      </c>
      <c r="L126" s="28"/>
      <c r="M126" s="28"/>
      <c r="N126" s="28">
        <f t="shared" si="2"/>
        <v>184.29999999999998</v>
      </c>
      <c r="O126" s="55">
        <v>45938</v>
      </c>
      <c r="P126" s="26">
        <v>346477</v>
      </c>
      <c r="R126" s="24">
        <v>1077155</v>
      </c>
      <c r="S126" s="24" t="s">
        <v>664</v>
      </c>
    </row>
    <row r="127" spans="1:19" x14ac:dyDescent="0.25">
      <c r="A127" s="29" t="s">
        <v>503</v>
      </c>
      <c r="B127" s="30" t="s">
        <v>162</v>
      </c>
      <c r="C127" s="30" t="s">
        <v>163</v>
      </c>
      <c r="D127" s="31" t="s">
        <v>504</v>
      </c>
      <c r="E127" s="31"/>
      <c r="F127" s="32">
        <v>45876</v>
      </c>
      <c r="G127" s="32">
        <v>45924</v>
      </c>
      <c r="H127" s="20">
        <v>587</v>
      </c>
      <c r="J127" s="8">
        <v>587</v>
      </c>
      <c r="N127" s="8">
        <f t="shared" si="2"/>
        <v>587</v>
      </c>
    </row>
    <row r="128" spans="1:19" x14ac:dyDescent="0.25">
      <c r="A128" s="29" t="s">
        <v>503</v>
      </c>
      <c r="B128" s="30" t="s">
        <v>162</v>
      </c>
      <c r="C128" s="30" t="s">
        <v>164</v>
      </c>
      <c r="D128" s="31" t="s">
        <v>505</v>
      </c>
      <c r="E128" s="31"/>
      <c r="F128" s="32">
        <v>45876</v>
      </c>
      <c r="G128" s="32">
        <v>45924</v>
      </c>
      <c r="H128" s="20">
        <v>1341</v>
      </c>
      <c r="J128" s="8">
        <v>1341</v>
      </c>
      <c r="N128" s="8">
        <f t="shared" si="2"/>
        <v>1341</v>
      </c>
    </row>
    <row r="129" spans="1:19" x14ac:dyDescent="0.25">
      <c r="A129" s="29" t="s">
        <v>503</v>
      </c>
      <c r="B129" s="30" t="s">
        <v>162</v>
      </c>
      <c r="C129" s="30" t="s">
        <v>165</v>
      </c>
      <c r="D129" s="31" t="s">
        <v>506</v>
      </c>
      <c r="E129" s="31"/>
      <c r="F129" s="32">
        <v>45883</v>
      </c>
      <c r="G129" s="32">
        <v>45931</v>
      </c>
      <c r="H129" s="20">
        <v>922</v>
      </c>
      <c r="J129" s="8">
        <v>922</v>
      </c>
      <c r="N129" s="8">
        <f t="shared" si="2"/>
        <v>922</v>
      </c>
    </row>
    <row r="130" spans="1:19" x14ac:dyDescent="0.25">
      <c r="A130" s="60" t="s">
        <v>503</v>
      </c>
      <c r="B130" s="61" t="s">
        <v>162</v>
      </c>
      <c r="C130" s="61" t="s">
        <v>166</v>
      </c>
      <c r="D130" s="62" t="s">
        <v>505</v>
      </c>
      <c r="E130" s="62"/>
      <c r="F130" s="63">
        <v>45904</v>
      </c>
      <c r="G130" s="63">
        <v>45952</v>
      </c>
      <c r="H130" s="27">
        <v>313</v>
      </c>
      <c r="I130" s="51">
        <f>SUM(H127:H130)</f>
        <v>3163</v>
      </c>
      <c r="J130" s="28">
        <v>313</v>
      </c>
      <c r="K130" s="28"/>
      <c r="L130" s="28"/>
      <c r="M130" s="28"/>
      <c r="N130" s="28">
        <f t="shared" si="2"/>
        <v>313</v>
      </c>
      <c r="O130" s="26"/>
      <c r="P130" s="26"/>
      <c r="R130" s="24">
        <v>1077156</v>
      </c>
      <c r="S130" s="24" t="s">
        <v>664</v>
      </c>
    </row>
    <row r="131" spans="1:19" x14ac:dyDescent="0.25">
      <c r="A131" s="29" t="s">
        <v>167</v>
      </c>
      <c r="B131" s="30" t="s">
        <v>168</v>
      </c>
      <c r="C131" s="30" t="s">
        <v>169</v>
      </c>
      <c r="D131" s="31" t="s">
        <v>507</v>
      </c>
      <c r="E131" s="31"/>
      <c r="F131" s="32">
        <v>45902</v>
      </c>
      <c r="G131" s="32">
        <v>45924</v>
      </c>
      <c r="H131" s="20">
        <v>30941.49</v>
      </c>
      <c r="J131" s="8">
        <v>30941.49</v>
      </c>
      <c r="N131" s="42">
        <f t="shared" si="2"/>
        <v>30941.49</v>
      </c>
    </row>
    <row r="132" spans="1:19" x14ac:dyDescent="0.25">
      <c r="A132" s="29" t="s">
        <v>167</v>
      </c>
      <c r="B132" s="30" t="s">
        <v>168</v>
      </c>
      <c r="C132" s="30" t="s">
        <v>170</v>
      </c>
      <c r="D132" s="31" t="s">
        <v>507</v>
      </c>
      <c r="E132" s="31"/>
      <c r="F132" s="32">
        <v>45902</v>
      </c>
      <c r="G132" s="32">
        <v>45924</v>
      </c>
      <c r="H132" s="20">
        <v>2962.89</v>
      </c>
      <c r="K132" s="8">
        <f>1650+372.9</f>
        <v>2022.9</v>
      </c>
      <c r="L132" s="8">
        <v>939.99</v>
      </c>
      <c r="N132" s="42">
        <f t="shared" si="2"/>
        <v>2962.8900000000003</v>
      </c>
    </row>
    <row r="133" spans="1:19" x14ac:dyDescent="0.25">
      <c r="A133" s="29" t="s">
        <v>167</v>
      </c>
      <c r="B133" s="30" t="s">
        <v>168</v>
      </c>
      <c r="C133" s="30" t="s">
        <v>171</v>
      </c>
      <c r="D133" s="31" t="s">
        <v>509</v>
      </c>
      <c r="E133" s="31"/>
      <c r="F133" s="32">
        <v>45902</v>
      </c>
      <c r="G133" s="32">
        <v>45924</v>
      </c>
      <c r="H133" s="20">
        <v>1726.29</v>
      </c>
      <c r="J133" s="8">
        <v>1675.14</v>
      </c>
      <c r="L133" s="8">
        <v>51.15</v>
      </c>
      <c r="N133" s="8">
        <f t="shared" si="2"/>
        <v>1726.2900000000002</v>
      </c>
    </row>
    <row r="134" spans="1:19" x14ac:dyDescent="0.25">
      <c r="A134" s="29" t="s">
        <v>167</v>
      </c>
      <c r="B134" s="30" t="s">
        <v>168</v>
      </c>
      <c r="C134" s="30" t="s">
        <v>172</v>
      </c>
      <c r="D134" s="31" t="s">
        <v>510</v>
      </c>
      <c r="E134" s="31"/>
      <c r="F134" s="32">
        <v>45902</v>
      </c>
      <c r="G134" s="32">
        <v>45924</v>
      </c>
      <c r="H134" s="20">
        <v>796.21</v>
      </c>
      <c r="I134" s="52">
        <f>SUM(H131:H134)</f>
        <v>36426.880000000005</v>
      </c>
      <c r="J134" s="8">
        <v>772.47</v>
      </c>
      <c r="L134" s="8">
        <v>23.74</v>
      </c>
      <c r="N134" s="8">
        <f t="shared" si="2"/>
        <v>796.21</v>
      </c>
      <c r="O134" s="57">
        <v>45938</v>
      </c>
      <c r="P134" s="1">
        <v>346488</v>
      </c>
      <c r="R134" s="24">
        <v>1077157</v>
      </c>
      <c r="S134" s="24" t="s">
        <v>664</v>
      </c>
    </row>
    <row r="135" spans="1:19" x14ac:dyDescent="0.25">
      <c r="A135" s="29" t="s">
        <v>173</v>
      </c>
      <c r="B135" s="30" t="s">
        <v>174</v>
      </c>
      <c r="C135" s="30" t="s">
        <v>175</v>
      </c>
      <c r="D135" s="31" t="s">
        <v>512</v>
      </c>
      <c r="E135" s="31"/>
      <c r="F135" s="32">
        <v>45902</v>
      </c>
      <c r="G135" s="32">
        <v>45924</v>
      </c>
      <c r="H135" s="20">
        <v>1282.8599999999999</v>
      </c>
      <c r="J135" s="8">
        <v>1247.43</v>
      </c>
      <c r="L135" s="8">
        <v>35.43</v>
      </c>
      <c r="N135" s="8">
        <f t="shared" si="2"/>
        <v>1282.8600000000001</v>
      </c>
    </row>
    <row r="136" spans="1:19" x14ac:dyDescent="0.25">
      <c r="A136" s="29" t="s">
        <v>173</v>
      </c>
      <c r="B136" s="30" t="s">
        <v>174</v>
      </c>
      <c r="C136" s="30" t="s">
        <v>176</v>
      </c>
      <c r="D136" s="31" t="s">
        <v>513</v>
      </c>
      <c r="E136" s="31"/>
      <c r="F136" s="32">
        <v>45905</v>
      </c>
      <c r="G136" s="32">
        <v>45924</v>
      </c>
      <c r="H136" s="20">
        <v>8750.6200000000008</v>
      </c>
      <c r="J136" s="8">
        <v>8750.6200000000008</v>
      </c>
      <c r="N136" s="42">
        <f t="shared" si="2"/>
        <v>8750.6200000000008</v>
      </c>
    </row>
    <row r="137" spans="1:19" x14ac:dyDescent="0.25">
      <c r="A137" s="29" t="s">
        <v>173</v>
      </c>
      <c r="B137" s="30" t="s">
        <v>174</v>
      </c>
      <c r="C137" s="30" t="s">
        <v>177</v>
      </c>
      <c r="D137" s="31" t="s">
        <v>513</v>
      </c>
      <c r="E137" s="31"/>
      <c r="F137" s="32">
        <v>45905</v>
      </c>
      <c r="G137" s="32">
        <v>45924</v>
      </c>
      <c r="H137" s="20">
        <v>828.38</v>
      </c>
      <c r="K137" s="8">
        <v>570.70000000000005</v>
      </c>
      <c r="L137" s="8">
        <v>257.68</v>
      </c>
      <c r="N137" s="42">
        <f t="shared" si="2"/>
        <v>828.38000000000011</v>
      </c>
    </row>
    <row r="138" spans="1:19" x14ac:dyDescent="0.25">
      <c r="A138" s="29" t="s">
        <v>173</v>
      </c>
      <c r="B138" s="30" t="s">
        <v>174</v>
      </c>
      <c r="C138" s="30" t="s">
        <v>178</v>
      </c>
      <c r="D138" s="31" t="s">
        <v>514</v>
      </c>
      <c r="E138" s="31"/>
      <c r="F138" s="32">
        <v>45905</v>
      </c>
      <c r="G138" s="32">
        <v>45924</v>
      </c>
      <c r="H138" s="20">
        <v>1115.7</v>
      </c>
      <c r="J138" s="8">
        <v>1115.7</v>
      </c>
      <c r="N138" s="42">
        <f t="shared" si="2"/>
        <v>1115.7</v>
      </c>
    </row>
    <row r="139" spans="1:19" x14ac:dyDescent="0.25">
      <c r="A139" s="60" t="s">
        <v>173</v>
      </c>
      <c r="B139" s="61" t="s">
        <v>174</v>
      </c>
      <c r="C139" s="61" t="s">
        <v>179</v>
      </c>
      <c r="D139" s="62" t="s">
        <v>514</v>
      </c>
      <c r="E139" s="62"/>
      <c r="F139" s="63">
        <v>45905</v>
      </c>
      <c r="G139" s="63">
        <v>45924</v>
      </c>
      <c r="H139" s="27">
        <v>117.51</v>
      </c>
      <c r="I139" s="51">
        <f>SUM(H135:H139)</f>
        <v>12095.070000000002</v>
      </c>
      <c r="J139" s="28"/>
      <c r="K139" s="28">
        <v>85.82</v>
      </c>
      <c r="L139" s="28">
        <v>31.69</v>
      </c>
      <c r="M139" s="28"/>
      <c r="N139" s="43">
        <f t="shared" si="2"/>
        <v>117.50999999999999</v>
      </c>
      <c r="O139" s="55">
        <v>45938</v>
      </c>
      <c r="P139" s="26">
        <v>346488</v>
      </c>
      <c r="R139" s="24">
        <v>1077158</v>
      </c>
      <c r="S139" s="24" t="s">
        <v>664</v>
      </c>
    </row>
    <row r="140" spans="1:19" x14ac:dyDescent="0.25">
      <c r="A140" s="29" t="s">
        <v>180</v>
      </c>
      <c r="B140" s="30" t="s">
        <v>181</v>
      </c>
      <c r="C140" s="30" t="s">
        <v>182</v>
      </c>
      <c r="D140" s="31" t="s">
        <v>515</v>
      </c>
      <c r="E140" s="31"/>
      <c r="F140" s="32">
        <v>45896</v>
      </c>
      <c r="G140" s="32">
        <v>45917</v>
      </c>
      <c r="H140" s="20">
        <v>1851.62</v>
      </c>
      <c r="J140" s="8">
        <v>1851.62</v>
      </c>
      <c r="N140" s="8">
        <f t="shared" si="2"/>
        <v>1851.62</v>
      </c>
    </row>
    <row r="141" spans="1:19" x14ac:dyDescent="0.25">
      <c r="A141" s="29" t="s">
        <v>180</v>
      </c>
      <c r="B141" s="30" t="s">
        <v>181</v>
      </c>
      <c r="C141" s="30" t="s">
        <v>183</v>
      </c>
      <c r="D141" s="31" t="s">
        <v>516</v>
      </c>
      <c r="E141" s="31"/>
      <c r="F141" s="32">
        <v>45896</v>
      </c>
      <c r="G141" s="32">
        <v>45917</v>
      </c>
      <c r="H141" s="20">
        <v>665.5</v>
      </c>
      <c r="J141" s="8">
        <v>665.5</v>
      </c>
      <c r="N141" s="8">
        <f t="shared" si="2"/>
        <v>665.5</v>
      </c>
    </row>
    <row r="142" spans="1:19" x14ac:dyDescent="0.25">
      <c r="A142" s="29" t="s">
        <v>180</v>
      </c>
      <c r="B142" s="30" t="s">
        <v>181</v>
      </c>
      <c r="C142" s="30" t="s">
        <v>184</v>
      </c>
      <c r="D142" s="31" t="s">
        <v>517</v>
      </c>
      <c r="E142" s="31"/>
      <c r="F142" s="32">
        <v>45896</v>
      </c>
      <c r="G142" s="32">
        <v>45917</v>
      </c>
      <c r="H142" s="20">
        <v>256</v>
      </c>
      <c r="J142" s="8">
        <v>256</v>
      </c>
      <c r="N142" s="8">
        <f t="shared" si="2"/>
        <v>256</v>
      </c>
    </row>
    <row r="143" spans="1:19" x14ac:dyDescent="0.25">
      <c r="A143" s="29" t="s">
        <v>180</v>
      </c>
      <c r="B143" s="30" t="s">
        <v>181</v>
      </c>
      <c r="C143" s="30" t="s">
        <v>185</v>
      </c>
      <c r="D143" s="31" t="s">
        <v>518</v>
      </c>
      <c r="E143" s="31"/>
      <c r="F143" s="32">
        <v>45896</v>
      </c>
      <c r="G143" s="32">
        <v>45917</v>
      </c>
      <c r="H143" s="20">
        <v>1367.74</v>
      </c>
      <c r="J143" s="8">
        <v>1367.74</v>
      </c>
      <c r="N143" s="8">
        <f t="shared" si="2"/>
        <v>1367.74</v>
      </c>
    </row>
    <row r="144" spans="1:19" x14ac:dyDescent="0.25">
      <c r="A144" s="29" t="s">
        <v>180</v>
      </c>
      <c r="B144" s="30" t="s">
        <v>181</v>
      </c>
      <c r="C144" s="30" t="s">
        <v>186</v>
      </c>
      <c r="D144" s="31" t="s">
        <v>519</v>
      </c>
      <c r="E144" s="31"/>
      <c r="F144" s="32">
        <v>45896</v>
      </c>
      <c r="G144" s="32">
        <v>45917</v>
      </c>
      <c r="H144" s="20">
        <v>1491</v>
      </c>
      <c r="J144" s="8">
        <v>1491</v>
      </c>
      <c r="N144" s="8">
        <f t="shared" si="2"/>
        <v>1491</v>
      </c>
    </row>
    <row r="145" spans="1:14" x14ac:dyDescent="0.25">
      <c r="A145" s="29" t="s">
        <v>180</v>
      </c>
      <c r="B145" s="30" t="s">
        <v>181</v>
      </c>
      <c r="C145" s="30" t="s">
        <v>187</v>
      </c>
      <c r="D145" s="31" t="s">
        <v>520</v>
      </c>
      <c r="E145" s="31"/>
      <c r="F145" s="32">
        <v>45896</v>
      </c>
      <c r="G145" s="32">
        <v>45917</v>
      </c>
      <c r="H145" s="20">
        <v>4490.3500000000004</v>
      </c>
      <c r="J145" s="8">
        <v>4490.3500000000004</v>
      </c>
      <c r="N145" s="8">
        <f t="shared" si="2"/>
        <v>4490.3500000000004</v>
      </c>
    </row>
    <row r="146" spans="1:14" x14ac:dyDescent="0.25">
      <c r="A146" s="29" t="s">
        <v>180</v>
      </c>
      <c r="B146" s="30" t="s">
        <v>181</v>
      </c>
      <c r="C146" s="30" t="s">
        <v>188</v>
      </c>
      <c r="D146" s="31" t="s">
        <v>521</v>
      </c>
      <c r="E146" s="31"/>
      <c r="F146" s="32">
        <v>45896</v>
      </c>
      <c r="G146" s="32">
        <v>45917</v>
      </c>
      <c r="H146" s="20">
        <v>4543.55</v>
      </c>
      <c r="J146" s="8">
        <v>4543.55</v>
      </c>
      <c r="N146" s="8">
        <f t="shared" si="2"/>
        <v>4543.55</v>
      </c>
    </row>
    <row r="147" spans="1:14" x14ac:dyDescent="0.25">
      <c r="A147" s="29" t="s">
        <v>180</v>
      </c>
      <c r="B147" s="30" t="s">
        <v>181</v>
      </c>
      <c r="C147" s="30" t="s">
        <v>189</v>
      </c>
      <c r="D147" s="31" t="s">
        <v>522</v>
      </c>
      <c r="E147" s="31"/>
      <c r="F147" s="32">
        <v>45896</v>
      </c>
      <c r="G147" s="32">
        <v>45917</v>
      </c>
      <c r="H147" s="20">
        <v>3764.23</v>
      </c>
      <c r="J147" s="8">
        <v>3764.23</v>
      </c>
      <c r="N147" s="8">
        <f t="shared" si="2"/>
        <v>3764.23</v>
      </c>
    </row>
    <row r="148" spans="1:14" x14ac:dyDescent="0.25">
      <c r="A148" s="29" t="s">
        <v>180</v>
      </c>
      <c r="B148" s="30" t="s">
        <v>181</v>
      </c>
      <c r="C148" s="30" t="s">
        <v>190</v>
      </c>
      <c r="D148" s="31" t="s">
        <v>523</v>
      </c>
      <c r="E148" s="31"/>
      <c r="F148" s="32">
        <v>45896</v>
      </c>
      <c r="G148" s="32">
        <v>45917</v>
      </c>
      <c r="H148" s="20">
        <v>15191.95</v>
      </c>
      <c r="J148" s="8">
        <v>15191.95</v>
      </c>
      <c r="N148" s="8">
        <f t="shared" si="2"/>
        <v>15191.95</v>
      </c>
    </row>
    <row r="149" spans="1:14" x14ac:dyDescent="0.25">
      <c r="A149" s="29" t="s">
        <v>180</v>
      </c>
      <c r="B149" s="30" t="s">
        <v>181</v>
      </c>
      <c r="C149" s="30" t="s">
        <v>191</v>
      </c>
      <c r="D149" s="31" t="s">
        <v>508</v>
      </c>
      <c r="E149" s="31"/>
      <c r="F149" s="32">
        <v>45896</v>
      </c>
      <c r="G149" s="32">
        <v>45917</v>
      </c>
      <c r="H149" s="20">
        <v>7391.15</v>
      </c>
      <c r="J149" s="8">
        <v>7391.15</v>
      </c>
      <c r="N149" s="8">
        <f t="shared" si="2"/>
        <v>7391.15</v>
      </c>
    </row>
    <row r="150" spans="1:14" x14ac:dyDescent="0.25">
      <c r="A150" s="29" t="s">
        <v>180</v>
      </c>
      <c r="B150" s="30" t="s">
        <v>181</v>
      </c>
      <c r="C150" s="30" t="s">
        <v>192</v>
      </c>
      <c r="D150" s="31" t="s">
        <v>524</v>
      </c>
      <c r="E150" s="31"/>
      <c r="F150" s="32">
        <v>45896</v>
      </c>
      <c r="G150" s="32">
        <v>45917</v>
      </c>
      <c r="H150" s="20">
        <v>4474.21</v>
      </c>
      <c r="J150" s="8">
        <v>4474.21</v>
      </c>
      <c r="N150" s="8">
        <f t="shared" si="2"/>
        <v>4474.21</v>
      </c>
    </row>
    <row r="151" spans="1:14" x14ac:dyDescent="0.25">
      <c r="A151" s="29" t="s">
        <v>180</v>
      </c>
      <c r="B151" s="30" t="s">
        <v>181</v>
      </c>
      <c r="C151" s="30" t="s">
        <v>193</v>
      </c>
      <c r="D151" s="31" t="s">
        <v>525</v>
      </c>
      <c r="E151" s="31"/>
      <c r="F151" s="32">
        <v>45896</v>
      </c>
      <c r="G151" s="32">
        <v>45917</v>
      </c>
      <c r="H151" s="20">
        <v>1749.16</v>
      </c>
      <c r="J151" s="8">
        <v>1749.16</v>
      </c>
      <c r="N151" s="8">
        <f t="shared" si="2"/>
        <v>1749.16</v>
      </c>
    </row>
    <row r="152" spans="1:14" x14ac:dyDescent="0.25">
      <c r="A152" s="29" t="s">
        <v>180</v>
      </c>
      <c r="B152" s="30" t="s">
        <v>181</v>
      </c>
      <c r="C152" s="30" t="s">
        <v>194</v>
      </c>
      <c r="D152" s="31" t="s">
        <v>526</v>
      </c>
      <c r="E152" s="31"/>
      <c r="F152" s="32">
        <v>45896</v>
      </c>
      <c r="G152" s="32">
        <v>45917</v>
      </c>
      <c r="H152" s="20">
        <v>1775.77</v>
      </c>
      <c r="J152" s="8">
        <v>1775.77</v>
      </c>
      <c r="N152" s="8">
        <f t="shared" si="2"/>
        <v>1775.77</v>
      </c>
    </row>
    <row r="153" spans="1:14" x14ac:dyDescent="0.25">
      <c r="A153" s="29" t="s">
        <v>180</v>
      </c>
      <c r="B153" s="30" t="s">
        <v>181</v>
      </c>
      <c r="C153" s="30" t="s">
        <v>195</v>
      </c>
      <c r="D153" s="31" t="s">
        <v>527</v>
      </c>
      <c r="E153" s="31"/>
      <c r="F153" s="32">
        <v>45896</v>
      </c>
      <c r="G153" s="32">
        <v>45917</v>
      </c>
      <c r="H153" s="20">
        <v>3115.7</v>
      </c>
      <c r="J153" s="8">
        <v>3115.7</v>
      </c>
      <c r="N153" s="8">
        <f t="shared" si="2"/>
        <v>3115.7</v>
      </c>
    </row>
    <row r="154" spans="1:14" x14ac:dyDescent="0.25">
      <c r="A154" s="29" t="s">
        <v>180</v>
      </c>
      <c r="B154" s="30" t="s">
        <v>181</v>
      </c>
      <c r="C154" s="30" t="s">
        <v>196</v>
      </c>
      <c r="D154" s="31" t="s">
        <v>528</v>
      </c>
      <c r="E154" s="31"/>
      <c r="F154" s="32">
        <v>45896</v>
      </c>
      <c r="G154" s="32">
        <v>45917</v>
      </c>
      <c r="H154" s="20">
        <v>3551.54</v>
      </c>
      <c r="J154" s="8">
        <v>3551.54</v>
      </c>
      <c r="N154" s="8">
        <f t="shared" si="2"/>
        <v>3551.54</v>
      </c>
    </row>
    <row r="155" spans="1:14" x14ac:dyDescent="0.25">
      <c r="A155" s="29" t="s">
        <v>180</v>
      </c>
      <c r="B155" s="30" t="s">
        <v>181</v>
      </c>
      <c r="C155" s="30" t="s">
        <v>197</v>
      </c>
      <c r="D155" s="31" t="s">
        <v>529</v>
      </c>
      <c r="E155" s="31"/>
      <c r="F155" s="32">
        <v>45896</v>
      </c>
      <c r="G155" s="32">
        <v>45917</v>
      </c>
      <c r="H155" s="20">
        <v>10474.4</v>
      </c>
      <c r="J155" s="8">
        <v>10474.4</v>
      </c>
      <c r="N155" s="8">
        <f t="shared" si="2"/>
        <v>10474.4</v>
      </c>
    </row>
    <row r="156" spans="1:14" x14ac:dyDescent="0.25">
      <c r="A156" s="29" t="s">
        <v>180</v>
      </c>
      <c r="B156" s="30" t="s">
        <v>181</v>
      </c>
      <c r="C156" s="30" t="s">
        <v>198</v>
      </c>
      <c r="D156" s="31" t="s">
        <v>530</v>
      </c>
      <c r="E156" s="31"/>
      <c r="F156" s="32">
        <v>45905</v>
      </c>
      <c r="G156" s="32">
        <v>45924</v>
      </c>
      <c r="H156" s="20">
        <v>762.54</v>
      </c>
      <c r="J156" s="8">
        <v>762.54</v>
      </c>
      <c r="N156" s="8">
        <f t="shared" si="2"/>
        <v>762.54</v>
      </c>
    </row>
    <row r="157" spans="1:14" x14ac:dyDescent="0.25">
      <c r="A157" s="29" t="s">
        <v>180</v>
      </c>
      <c r="B157" s="30" t="s">
        <v>181</v>
      </c>
      <c r="C157" s="30" t="s">
        <v>199</v>
      </c>
      <c r="D157" s="31" t="s">
        <v>531</v>
      </c>
      <c r="E157" s="31"/>
      <c r="F157" s="32">
        <v>45905</v>
      </c>
      <c r="G157" s="32">
        <v>45924</v>
      </c>
      <c r="H157" s="20">
        <v>1524.7</v>
      </c>
      <c r="J157" s="8">
        <v>1524.7</v>
      </c>
      <c r="N157" s="8">
        <f t="shared" si="2"/>
        <v>1524.7</v>
      </c>
    </row>
    <row r="158" spans="1:14" x14ac:dyDescent="0.25">
      <c r="A158" s="29" t="s">
        <v>180</v>
      </c>
      <c r="B158" s="30" t="s">
        <v>181</v>
      </c>
      <c r="C158" s="30" t="s">
        <v>200</v>
      </c>
      <c r="D158" s="31" t="s">
        <v>532</v>
      </c>
      <c r="E158" s="31"/>
      <c r="F158" s="32">
        <v>45905</v>
      </c>
      <c r="G158" s="32">
        <v>45924</v>
      </c>
      <c r="H158" s="20">
        <v>762.54</v>
      </c>
      <c r="J158" s="8">
        <v>762.54</v>
      </c>
      <c r="N158" s="8">
        <f t="shared" si="2"/>
        <v>762.54</v>
      </c>
    </row>
    <row r="159" spans="1:14" x14ac:dyDescent="0.25">
      <c r="A159" s="29" t="s">
        <v>180</v>
      </c>
      <c r="B159" s="30" t="s">
        <v>181</v>
      </c>
      <c r="C159" s="30" t="s">
        <v>201</v>
      </c>
      <c r="D159" s="31" t="s">
        <v>533</v>
      </c>
      <c r="E159" s="31"/>
      <c r="F159" s="32">
        <v>45905</v>
      </c>
      <c r="G159" s="32">
        <v>45924</v>
      </c>
      <c r="H159" s="20">
        <v>1472.92</v>
      </c>
      <c r="J159" s="8">
        <v>1472.92</v>
      </c>
      <c r="N159" s="8">
        <f t="shared" si="2"/>
        <v>1472.92</v>
      </c>
    </row>
    <row r="160" spans="1:14" x14ac:dyDescent="0.25">
      <c r="A160" s="29" t="s">
        <v>180</v>
      </c>
      <c r="B160" s="30" t="s">
        <v>181</v>
      </c>
      <c r="C160" s="30" t="s">
        <v>202</v>
      </c>
      <c r="D160" s="31" t="s">
        <v>534</v>
      </c>
      <c r="E160" s="31"/>
      <c r="F160" s="32">
        <v>45905</v>
      </c>
      <c r="G160" s="32">
        <v>45924</v>
      </c>
      <c r="H160" s="20">
        <v>1575.95</v>
      </c>
      <c r="J160" s="8">
        <v>1575.95</v>
      </c>
      <c r="N160" s="8">
        <f t="shared" si="2"/>
        <v>1575.95</v>
      </c>
    </row>
    <row r="161" spans="1:19" x14ac:dyDescent="0.25">
      <c r="A161" s="29" t="s">
        <v>180</v>
      </c>
      <c r="B161" s="30" t="s">
        <v>181</v>
      </c>
      <c r="C161" s="30" t="s">
        <v>203</v>
      </c>
      <c r="D161" s="31" t="s">
        <v>515</v>
      </c>
      <c r="E161" s="31"/>
      <c r="F161" s="32">
        <v>45905</v>
      </c>
      <c r="G161" s="32">
        <v>45924</v>
      </c>
      <c r="H161" s="20">
        <v>726.5</v>
      </c>
      <c r="J161" s="8">
        <v>726.5</v>
      </c>
      <c r="N161" s="8">
        <f t="shared" si="2"/>
        <v>726.5</v>
      </c>
    </row>
    <row r="162" spans="1:19" x14ac:dyDescent="0.25">
      <c r="A162" s="29" t="s">
        <v>180</v>
      </c>
      <c r="B162" s="30" t="s">
        <v>181</v>
      </c>
      <c r="C162" s="30" t="s">
        <v>204</v>
      </c>
      <c r="D162" s="31" t="s">
        <v>535</v>
      </c>
      <c r="E162" s="31"/>
      <c r="F162" s="32">
        <v>45905</v>
      </c>
      <c r="G162" s="32">
        <v>45924</v>
      </c>
      <c r="H162" s="20">
        <v>3208.75</v>
      </c>
      <c r="J162" s="8">
        <v>3208.75</v>
      </c>
      <c r="N162" s="8">
        <f t="shared" si="2"/>
        <v>3208.75</v>
      </c>
    </row>
    <row r="163" spans="1:19" x14ac:dyDescent="0.25">
      <c r="A163" s="29" t="s">
        <v>180</v>
      </c>
      <c r="B163" s="30" t="s">
        <v>181</v>
      </c>
      <c r="C163" s="30" t="s">
        <v>205</v>
      </c>
      <c r="D163" s="31" t="s">
        <v>536</v>
      </c>
      <c r="E163" s="31"/>
      <c r="F163" s="32">
        <v>45905</v>
      </c>
      <c r="G163" s="32">
        <v>45924</v>
      </c>
      <c r="H163" s="20">
        <v>3743.35</v>
      </c>
      <c r="J163" s="8">
        <v>3743.35</v>
      </c>
      <c r="N163" s="8">
        <f t="shared" si="2"/>
        <v>3743.35</v>
      </c>
    </row>
    <row r="164" spans="1:19" x14ac:dyDescent="0.25">
      <c r="A164" s="60" t="s">
        <v>180</v>
      </c>
      <c r="B164" s="61" t="s">
        <v>181</v>
      </c>
      <c r="C164" s="61" t="s">
        <v>206</v>
      </c>
      <c r="D164" s="62" t="s">
        <v>537</v>
      </c>
      <c r="E164" s="62"/>
      <c r="F164" s="63">
        <v>45905</v>
      </c>
      <c r="G164" s="63">
        <v>45917</v>
      </c>
      <c r="H164" s="27">
        <v>985.88</v>
      </c>
      <c r="I164" s="51">
        <f>SUM(H140:H164)</f>
        <v>80916.999999999985</v>
      </c>
      <c r="J164" s="28">
        <v>985.88</v>
      </c>
      <c r="K164" s="28"/>
      <c r="L164" s="28"/>
      <c r="M164" s="28"/>
      <c r="N164" s="28">
        <f t="shared" si="2"/>
        <v>985.88</v>
      </c>
      <c r="O164" s="55">
        <v>45938</v>
      </c>
      <c r="P164" s="26">
        <v>346489</v>
      </c>
      <c r="R164" s="24">
        <v>1077159</v>
      </c>
      <c r="S164" s="24" t="s">
        <v>664</v>
      </c>
    </row>
    <row r="165" spans="1:19" x14ac:dyDescent="0.25">
      <c r="A165" s="44" t="s">
        <v>207</v>
      </c>
      <c r="B165" s="45" t="s">
        <v>208</v>
      </c>
      <c r="C165" s="45" t="s">
        <v>209</v>
      </c>
      <c r="D165" s="46"/>
      <c r="E165" s="46"/>
      <c r="F165" s="47">
        <v>45513</v>
      </c>
      <c r="G165" s="47">
        <v>45513</v>
      </c>
      <c r="H165" s="48">
        <v>-157.94999999999999</v>
      </c>
      <c r="I165" s="48">
        <f>SUM(H165)</f>
        <v>-157.94999999999999</v>
      </c>
      <c r="J165" s="41"/>
      <c r="K165" s="41"/>
      <c r="L165" s="41"/>
      <c r="M165" s="41"/>
      <c r="N165" s="41">
        <f t="shared" si="2"/>
        <v>0</v>
      </c>
      <c r="O165" s="39"/>
      <c r="P165" s="39"/>
    </row>
    <row r="166" spans="1:19" x14ac:dyDescent="0.25">
      <c r="A166" s="29" t="s">
        <v>210</v>
      </c>
      <c r="B166" s="30" t="s">
        <v>211</v>
      </c>
      <c r="C166" s="30" t="s">
        <v>212</v>
      </c>
      <c r="D166" s="31" t="s">
        <v>538</v>
      </c>
      <c r="E166" s="31"/>
      <c r="F166" s="32">
        <v>45898</v>
      </c>
      <c r="G166" s="32">
        <v>45917</v>
      </c>
      <c r="H166" s="20">
        <v>428.47</v>
      </c>
      <c r="J166" s="8">
        <v>428.47</v>
      </c>
      <c r="N166" s="8">
        <f t="shared" si="2"/>
        <v>428.47</v>
      </c>
    </row>
    <row r="167" spans="1:19" x14ac:dyDescent="0.25">
      <c r="A167" s="29" t="s">
        <v>210</v>
      </c>
      <c r="B167" s="30" t="s">
        <v>211</v>
      </c>
      <c r="C167" s="30" t="s">
        <v>213</v>
      </c>
      <c r="D167" s="31" t="s">
        <v>539</v>
      </c>
      <c r="E167" s="31"/>
      <c r="F167" s="32">
        <v>45898</v>
      </c>
      <c r="G167" s="32">
        <v>45917</v>
      </c>
      <c r="H167" s="20">
        <v>264.95999999999998</v>
      </c>
      <c r="J167" s="8">
        <v>264.95999999999998</v>
      </c>
      <c r="N167" s="8">
        <f t="shared" si="2"/>
        <v>264.95999999999998</v>
      </c>
    </row>
    <row r="168" spans="1:19" x14ac:dyDescent="0.25">
      <c r="A168" s="29" t="s">
        <v>210</v>
      </c>
      <c r="B168" s="30" t="s">
        <v>211</v>
      </c>
      <c r="C168" s="30" t="s">
        <v>214</v>
      </c>
      <c r="D168" s="31" t="s">
        <v>540</v>
      </c>
      <c r="E168" s="31"/>
      <c r="F168" s="32">
        <v>45898</v>
      </c>
      <c r="G168" s="32">
        <v>45917</v>
      </c>
      <c r="H168" s="20">
        <v>340.81</v>
      </c>
      <c r="J168" s="8">
        <v>340.81</v>
      </c>
      <c r="N168" s="8">
        <f t="shared" si="2"/>
        <v>340.81</v>
      </c>
    </row>
    <row r="169" spans="1:19" x14ac:dyDescent="0.25">
      <c r="A169" s="29" t="s">
        <v>210</v>
      </c>
      <c r="B169" s="30" t="s">
        <v>211</v>
      </c>
      <c r="C169" s="30" t="s">
        <v>215</v>
      </c>
      <c r="D169" s="31" t="s">
        <v>541</v>
      </c>
      <c r="E169" s="31"/>
      <c r="F169" s="32">
        <v>45898</v>
      </c>
      <c r="G169" s="32">
        <v>45917</v>
      </c>
      <c r="H169" s="20">
        <v>392.03</v>
      </c>
      <c r="J169" s="8">
        <v>392.03</v>
      </c>
      <c r="N169" s="8">
        <f t="shared" si="2"/>
        <v>392.03</v>
      </c>
    </row>
    <row r="170" spans="1:19" x14ac:dyDescent="0.25">
      <c r="A170" s="29" t="s">
        <v>210</v>
      </c>
      <c r="B170" s="30" t="s">
        <v>211</v>
      </c>
      <c r="C170" s="30" t="s">
        <v>216</v>
      </c>
      <c r="D170" s="31" t="s">
        <v>542</v>
      </c>
      <c r="E170" s="31"/>
      <c r="F170" s="32">
        <v>45898</v>
      </c>
      <c r="G170" s="32">
        <v>45917</v>
      </c>
      <c r="H170" s="20">
        <v>512.20000000000005</v>
      </c>
      <c r="J170" s="8">
        <v>512.20000000000005</v>
      </c>
      <c r="N170" s="8">
        <f t="shared" si="2"/>
        <v>512.20000000000005</v>
      </c>
    </row>
    <row r="171" spans="1:19" x14ac:dyDescent="0.25">
      <c r="A171" s="29" t="s">
        <v>210</v>
      </c>
      <c r="B171" s="30" t="s">
        <v>211</v>
      </c>
      <c r="C171" s="30" t="s">
        <v>217</v>
      </c>
      <c r="D171" s="31" t="s">
        <v>543</v>
      </c>
      <c r="E171" s="31"/>
      <c r="F171" s="32">
        <v>45898</v>
      </c>
      <c r="G171" s="32">
        <v>45917</v>
      </c>
      <c r="H171" s="20">
        <v>570.30999999999995</v>
      </c>
      <c r="J171" s="8">
        <v>570.30999999999995</v>
      </c>
      <c r="N171" s="8">
        <f t="shared" si="2"/>
        <v>570.30999999999995</v>
      </c>
    </row>
    <row r="172" spans="1:19" x14ac:dyDescent="0.25">
      <c r="A172" s="29" t="s">
        <v>210</v>
      </c>
      <c r="B172" s="30" t="s">
        <v>211</v>
      </c>
      <c r="C172" s="30" t="s">
        <v>218</v>
      </c>
      <c r="D172" s="31" t="s">
        <v>544</v>
      </c>
      <c r="E172" s="31"/>
      <c r="F172" s="32">
        <v>45898</v>
      </c>
      <c r="G172" s="32">
        <v>45917</v>
      </c>
      <c r="H172" s="20">
        <v>914.08</v>
      </c>
      <c r="J172" s="8">
        <v>914.08</v>
      </c>
      <c r="N172" s="8">
        <f t="shared" si="2"/>
        <v>914.08</v>
      </c>
    </row>
    <row r="173" spans="1:19" x14ac:dyDescent="0.25">
      <c r="A173" s="29" t="s">
        <v>210</v>
      </c>
      <c r="B173" s="30" t="s">
        <v>211</v>
      </c>
      <c r="C173" s="30" t="s">
        <v>219</v>
      </c>
      <c r="D173" s="31" t="s">
        <v>545</v>
      </c>
      <c r="E173" s="31"/>
      <c r="F173" s="32">
        <v>45898</v>
      </c>
      <c r="G173" s="32">
        <v>45917</v>
      </c>
      <c r="H173" s="20">
        <v>2870.29</v>
      </c>
      <c r="J173" s="8">
        <v>2870.29</v>
      </c>
      <c r="N173" s="8">
        <f t="shared" si="2"/>
        <v>2870.29</v>
      </c>
    </row>
    <row r="174" spans="1:19" x14ac:dyDescent="0.25">
      <c r="A174" s="29" t="s">
        <v>210</v>
      </c>
      <c r="B174" s="30" t="s">
        <v>211</v>
      </c>
      <c r="C174" s="30" t="s">
        <v>220</v>
      </c>
      <c r="D174" s="31" t="s">
        <v>546</v>
      </c>
      <c r="E174" s="31"/>
      <c r="F174" s="32">
        <v>45898</v>
      </c>
      <c r="G174" s="32">
        <v>45917</v>
      </c>
      <c r="H174" s="20">
        <v>1947.34</v>
      </c>
      <c r="J174" s="8">
        <v>1947.34</v>
      </c>
      <c r="N174" s="8">
        <f t="shared" si="2"/>
        <v>1947.34</v>
      </c>
    </row>
    <row r="175" spans="1:19" x14ac:dyDescent="0.25">
      <c r="A175" s="29" t="s">
        <v>210</v>
      </c>
      <c r="B175" s="30" t="s">
        <v>211</v>
      </c>
      <c r="C175" s="30" t="s">
        <v>221</v>
      </c>
      <c r="D175" s="31" t="s">
        <v>547</v>
      </c>
      <c r="E175" s="31"/>
      <c r="F175" s="32">
        <v>45898</v>
      </c>
      <c r="G175" s="32">
        <v>45917</v>
      </c>
      <c r="H175" s="20">
        <v>1841.95</v>
      </c>
      <c r="J175" s="8">
        <v>1841.95</v>
      </c>
      <c r="N175" s="8">
        <f t="shared" si="2"/>
        <v>1841.95</v>
      </c>
    </row>
    <row r="176" spans="1:19" x14ac:dyDescent="0.25">
      <c r="A176" s="60" t="s">
        <v>210</v>
      </c>
      <c r="B176" s="61" t="s">
        <v>211</v>
      </c>
      <c r="C176" s="61" t="s">
        <v>222</v>
      </c>
      <c r="D176" s="62" t="s">
        <v>548</v>
      </c>
      <c r="E176" s="62"/>
      <c r="F176" s="63">
        <v>45898</v>
      </c>
      <c r="G176" s="63">
        <v>45917</v>
      </c>
      <c r="H176" s="27">
        <v>1729.66</v>
      </c>
      <c r="I176" s="51">
        <f>SUM(H166:H176)</f>
        <v>11812.1</v>
      </c>
      <c r="J176" s="28">
        <v>1729.66</v>
      </c>
      <c r="K176" s="28"/>
      <c r="L176" s="28"/>
      <c r="M176" s="28"/>
      <c r="N176" s="28">
        <f t="shared" si="2"/>
        <v>1729.66</v>
      </c>
      <c r="O176" s="55">
        <v>45938</v>
      </c>
      <c r="P176" s="26">
        <v>346496</v>
      </c>
      <c r="R176" s="24">
        <v>1077160</v>
      </c>
      <c r="S176" s="24" t="s">
        <v>664</v>
      </c>
    </row>
    <row r="177" spans="1:19" x14ac:dyDescent="0.25">
      <c r="A177" s="29" t="s">
        <v>658</v>
      </c>
      <c r="B177" s="30" t="s">
        <v>224</v>
      </c>
      <c r="C177" s="30" t="s">
        <v>225</v>
      </c>
      <c r="D177" s="31" t="s">
        <v>549</v>
      </c>
      <c r="E177" s="31"/>
      <c r="F177" s="32">
        <v>45902</v>
      </c>
      <c r="G177" s="32">
        <v>45924</v>
      </c>
      <c r="H177" s="20">
        <v>8034.04</v>
      </c>
      <c r="J177" s="8">
        <v>8034.04</v>
      </c>
      <c r="N177" s="8">
        <f t="shared" si="2"/>
        <v>8034.04</v>
      </c>
    </row>
    <row r="178" spans="1:19" x14ac:dyDescent="0.25">
      <c r="A178" s="29" t="s">
        <v>223</v>
      </c>
      <c r="B178" s="30" t="s">
        <v>224</v>
      </c>
      <c r="C178" s="30" t="s">
        <v>226</v>
      </c>
      <c r="D178" s="31" t="s">
        <v>550</v>
      </c>
      <c r="E178" s="31"/>
      <c r="F178" s="32">
        <v>45902</v>
      </c>
      <c r="G178" s="32">
        <v>45924</v>
      </c>
      <c r="H178" s="20">
        <v>254.8</v>
      </c>
      <c r="J178" s="8">
        <v>254.8</v>
      </c>
      <c r="N178" s="8">
        <f t="shared" si="2"/>
        <v>254.8</v>
      </c>
    </row>
    <row r="179" spans="1:19" x14ac:dyDescent="0.25">
      <c r="A179" s="29" t="s">
        <v>223</v>
      </c>
      <c r="B179" s="30" t="s">
        <v>224</v>
      </c>
      <c r="C179" s="30" t="s">
        <v>227</v>
      </c>
      <c r="D179" s="31" t="s">
        <v>551</v>
      </c>
      <c r="E179" s="31"/>
      <c r="F179" s="32">
        <v>45902</v>
      </c>
      <c r="G179" s="32">
        <v>45924</v>
      </c>
      <c r="H179" s="20">
        <v>1289.68</v>
      </c>
      <c r="J179" s="8">
        <v>1289.68</v>
      </c>
      <c r="N179" s="8">
        <f t="shared" si="2"/>
        <v>1289.68</v>
      </c>
    </row>
    <row r="180" spans="1:19" x14ac:dyDescent="0.25">
      <c r="A180" s="29" t="s">
        <v>223</v>
      </c>
      <c r="B180" s="30" t="s">
        <v>224</v>
      </c>
      <c r="C180" s="30" t="s">
        <v>228</v>
      </c>
      <c r="D180" s="31" t="s">
        <v>552</v>
      </c>
      <c r="E180" s="31"/>
      <c r="F180" s="32">
        <v>45902</v>
      </c>
      <c r="G180" s="32">
        <v>45924</v>
      </c>
      <c r="H180" s="20">
        <v>595.84</v>
      </c>
      <c r="J180" s="8">
        <v>595.84</v>
      </c>
      <c r="N180" s="8">
        <f t="shared" si="2"/>
        <v>595.84</v>
      </c>
    </row>
    <row r="181" spans="1:19" x14ac:dyDescent="0.25">
      <c r="A181" s="29" t="s">
        <v>223</v>
      </c>
      <c r="B181" s="30" t="s">
        <v>224</v>
      </c>
      <c r="C181" s="30" t="s">
        <v>229</v>
      </c>
      <c r="D181" s="31" t="s">
        <v>553</v>
      </c>
      <c r="E181" s="31"/>
      <c r="F181" s="32">
        <v>45902</v>
      </c>
      <c r="G181" s="32">
        <v>45924</v>
      </c>
      <c r="H181" s="20">
        <v>1289.68</v>
      </c>
      <c r="J181" s="8">
        <v>1289.68</v>
      </c>
      <c r="N181" s="8">
        <f t="shared" si="2"/>
        <v>1289.68</v>
      </c>
    </row>
    <row r="182" spans="1:19" x14ac:dyDescent="0.25">
      <c r="A182" s="29" t="s">
        <v>223</v>
      </c>
      <c r="B182" s="30" t="s">
        <v>224</v>
      </c>
      <c r="C182" s="30" t="s">
        <v>230</v>
      </c>
      <c r="D182" s="31" t="s">
        <v>554</v>
      </c>
      <c r="E182" s="31"/>
      <c r="F182" s="32">
        <v>45902</v>
      </c>
      <c r="G182" s="32">
        <v>45924</v>
      </c>
      <c r="H182" s="20">
        <v>4055.24</v>
      </c>
      <c r="J182" s="8">
        <v>4055.24</v>
      </c>
      <c r="N182" s="8">
        <f t="shared" si="2"/>
        <v>4055.24</v>
      </c>
    </row>
    <row r="183" spans="1:19" x14ac:dyDescent="0.25">
      <c r="A183" s="29" t="s">
        <v>223</v>
      </c>
      <c r="B183" s="30" t="s">
        <v>224</v>
      </c>
      <c r="C183" s="30" t="s">
        <v>231</v>
      </c>
      <c r="D183" s="31" t="s">
        <v>555</v>
      </c>
      <c r="E183" s="31"/>
      <c r="F183" s="32">
        <v>45902</v>
      </c>
      <c r="G183" s="32">
        <v>45924</v>
      </c>
      <c r="H183" s="20">
        <v>2108.96</v>
      </c>
      <c r="J183" s="8">
        <v>2108.96</v>
      </c>
      <c r="N183" s="8">
        <f t="shared" si="2"/>
        <v>2108.96</v>
      </c>
    </row>
    <row r="184" spans="1:19" x14ac:dyDescent="0.25">
      <c r="A184" s="29" t="s">
        <v>223</v>
      </c>
      <c r="B184" s="30" t="s">
        <v>224</v>
      </c>
      <c r="C184" s="30" t="s">
        <v>232</v>
      </c>
      <c r="D184" s="31" t="s">
        <v>556</v>
      </c>
      <c r="E184" s="31"/>
      <c r="F184" s="32">
        <v>45902</v>
      </c>
      <c r="G184" s="32">
        <v>45924</v>
      </c>
      <c r="H184" s="20">
        <v>4235.5600000000004</v>
      </c>
      <c r="J184" s="8">
        <v>4235.5600000000004</v>
      </c>
      <c r="N184" s="8">
        <f t="shared" si="2"/>
        <v>4235.5600000000004</v>
      </c>
    </row>
    <row r="185" spans="1:19" x14ac:dyDescent="0.25">
      <c r="A185" s="29" t="s">
        <v>223</v>
      </c>
      <c r="B185" s="30" t="s">
        <v>224</v>
      </c>
      <c r="C185" s="30" t="s">
        <v>233</v>
      </c>
      <c r="D185" s="31" t="s">
        <v>557</v>
      </c>
      <c r="E185" s="31"/>
      <c r="F185" s="32">
        <v>45902</v>
      </c>
      <c r="G185" s="32">
        <v>45924</v>
      </c>
      <c r="H185" s="20">
        <v>1193.6400000000001</v>
      </c>
      <c r="J185" s="8">
        <v>1193.6400000000001</v>
      </c>
      <c r="N185" s="8">
        <f t="shared" ref="N185:N248" si="3">SUM(J185:L185)</f>
        <v>1193.6400000000001</v>
      </c>
    </row>
    <row r="186" spans="1:19" x14ac:dyDescent="0.25">
      <c r="A186" s="60" t="s">
        <v>223</v>
      </c>
      <c r="B186" s="61" t="s">
        <v>224</v>
      </c>
      <c r="C186" s="61" t="s">
        <v>234</v>
      </c>
      <c r="D186" s="62" t="s">
        <v>558</v>
      </c>
      <c r="E186" s="62"/>
      <c r="F186" s="63">
        <v>45902</v>
      </c>
      <c r="G186" s="63">
        <v>45924</v>
      </c>
      <c r="H186" s="27">
        <v>1193.6400000000001</v>
      </c>
      <c r="I186" s="51">
        <f>SUM(H177:H186)</f>
        <v>24251.08</v>
      </c>
      <c r="J186" s="28">
        <v>1193.6400000000001</v>
      </c>
      <c r="K186" s="28"/>
      <c r="L186" s="28"/>
      <c r="M186" s="28"/>
      <c r="N186" s="28">
        <f t="shared" si="3"/>
        <v>1193.6400000000001</v>
      </c>
      <c r="O186" s="55">
        <v>45938</v>
      </c>
      <c r="P186" s="26">
        <v>346478</v>
      </c>
      <c r="R186" s="24">
        <v>1077161</v>
      </c>
      <c r="S186" s="24" t="s">
        <v>664</v>
      </c>
    </row>
    <row r="187" spans="1:19" x14ac:dyDescent="0.25">
      <c r="A187" s="7" t="s">
        <v>235</v>
      </c>
      <c r="B187" s="17" t="s">
        <v>236</v>
      </c>
      <c r="C187" s="17" t="s">
        <v>237</v>
      </c>
      <c r="D187" s="18"/>
      <c r="E187" s="18"/>
      <c r="F187" s="19">
        <v>45265</v>
      </c>
      <c r="G187" s="19">
        <v>45265</v>
      </c>
      <c r="H187" s="16">
        <v>-52</v>
      </c>
      <c r="I187" s="7"/>
      <c r="J187" s="9"/>
      <c r="N187" s="8">
        <f t="shared" si="3"/>
        <v>0</v>
      </c>
    </row>
    <row r="188" spans="1:19" x14ac:dyDescent="0.25">
      <c r="A188" s="34" t="s">
        <v>235</v>
      </c>
      <c r="B188" s="35" t="s">
        <v>236</v>
      </c>
      <c r="C188" s="35" t="s">
        <v>238</v>
      </c>
      <c r="D188" s="36"/>
      <c r="E188" s="36"/>
      <c r="F188" s="37" t="s">
        <v>239</v>
      </c>
      <c r="G188" s="37">
        <v>45259</v>
      </c>
      <c r="H188" s="38">
        <v>-149</v>
      </c>
      <c r="I188" s="38">
        <f>SUM(H187:H188)</f>
        <v>-201</v>
      </c>
      <c r="J188" s="49"/>
      <c r="K188" s="28"/>
      <c r="L188" s="28"/>
      <c r="M188" s="28"/>
      <c r="N188" s="28">
        <f t="shared" si="3"/>
        <v>0</v>
      </c>
      <c r="O188" s="26"/>
      <c r="P188" s="26"/>
    </row>
    <row r="189" spans="1:19" x14ac:dyDescent="0.25">
      <c r="A189" s="44" t="s">
        <v>240</v>
      </c>
      <c r="B189" s="45" t="s">
        <v>241</v>
      </c>
      <c r="C189" s="45" t="s">
        <v>242</v>
      </c>
      <c r="D189" s="46"/>
      <c r="E189" s="46"/>
      <c r="F189" s="47">
        <v>45876</v>
      </c>
      <c r="G189" s="47">
        <v>45876</v>
      </c>
      <c r="H189" s="48">
        <v>-2500</v>
      </c>
      <c r="I189" s="48">
        <f>SUM(H189)</f>
        <v>-2500</v>
      </c>
      <c r="J189" s="50"/>
      <c r="K189" s="41"/>
      <c r="L189" s="41"/>
      <c r="M189" s="41"/>
      <c r="N189" s="41">
        <f t="shared" si="3"/>
        <v>0</v>
      </c>
      <c r="O189" s="39"/>
      <c r="P189" s="39"/>
    </row>
    <row r="190" spans="1:19" x14ac:dyDescent="0.25">
      <c r="A190" s="29" t="s">
        <v>243</v>
      </c>
      <c r="B190" s="30" t="s">
        <v>244</v>
      </c>
      <c r="C190" s="30" t="s">
        <v>245</v>
      </c>
      <c r="D190" s="31" t="s">
        <v>559</v>
      </c>
      <c r="E190" s="31"/>
      <c r="F190" s="32">
        <v>45883</v>
      </c>
      <c r="G190" s="32">
        <v>45931</v>
      </c>
      <c r="H190" s="20">
        <v>2249.1</v>
      </c>
      <c r="J190" s="8">
        <v>2249.1</v>
      </c>
      <c r="N190" s="8">
        <f t="shared" si="3"/>
        <v>2249.1</v>
      </c>
    </row>
    <row r="191" spans="1:19" x14ac:dyDescent="0.25">
      <c r="A191" s="29" t="s">
        <v>243</v>
      </c>
      <c r="B191" s="30" t="s">
        <v>244</v>
      </c>
      <c r="C191" s="30" t="s">
        <v>246</v>
      </c>
      <c r="D191" s="31" t="s">
        <v>560</v>
      </c>
      <c r="E191" s="31"/>
      <c r="F191" s="32">
        <v>45883</v>
      </c>
      <c r="G191" s="32">
        <v>45931</v>
      </c>
      <c r="H191" s="20">
        <v>1528.2</v>
      </c>
      <c r="J191" s="8">
        <v>1528.2</v>
      </c>
      <c r="N191" s="8">
        <f t="shared" si="3"/>
        <v>1528.2</v>
      </c>
    </row>
    <row r="192" spans="1:19" x14ac:dyDescent="0.25">
      <c r="A192" s="29" t="s">
        <v>243</v>
      </c>
      <c r="B192" s="30" t="s">
        <v>244</v>
      </c>
      <c r="C192" s="30" t="s">
        <v>247</v>
      </c>
      <c r="D192" s="31" t="s">
        <v>561</v>
      </c>
      <c r="E192" s="31"/>
      <c r="F192" s="32">
        <v>45887</v>
      </c>
      <c r="G192" s="32">
        <v>45938</v>
      </c>
      <c r="H192" s="20">
        <v>2627.52</v>
      </c>
      <c r="J192" s="8">
        <v>2627.52</v>
      </c>
      <c r="N192" s="8">
        <f t="shared" si="3"/>
        <v>2627.52</v>
      </c>
    </row>
    <row r="193" spans="1:19" x14ac:dyDescent="0.25">
      <c r="A193" s="60" t="s">
        <v>243</v>
      </c>
      <c r="B193" s="61" t="s">
        <v>244</v>
      </c>
      <c r="C193" s="61" t="s">
        <v>248</v>
      </c>
      <c r="D193" s="62" t="s">
        <v>562</v>
      </c>
      <c r="E193" s="62"/>
      <c r="F193" s="63">
        <v>45890</v>
      </c>
      <c r="G193" s="63">
        <v>45945</v>
      </c>
      <c r="H193" s="27">
        <v>11723.4</v>
      </c>
      <c r="I193" s="51">
        <f>SUM(H190:H193)</f>
        <v>18128.22</v>
      </c>
      <c r="J193" s="28">
        <v>11723.4</v>
      </c>
      <c r="K193" s="28"/>
      <c r="L193" s="28"/>
      <c r="M193" s="28"/>
      <c r="N193" s="28">
        <f t="shared" si="3"/>
        <v>11723.4</v>
      </c>
      <c r="O193" s="55">
        <v>45938</v>
      </c>
      <c r="P193" s="26">
        <v>346490</v>
      </c>
      <c r="R193" s="24">
        <v>1077259</v>
      </c>
      <c r="S193" s="24" t="s">
        <v>664</v>
      </c>
    </row>
    <row r="194" spans="1:19" x14ac:dyDescent="0.25">
      <c r="A194" s="29" t="s">
        <v>249</v>
      </c>
      <c r="B194" s="30" t="s">
        <v>250</v>
      </c>
      <c r="C194" s="30" t="s">
        <v>251</v>
      </c>
      <c r="D194" s="31" t="s">
        <v>563</v>
      </c>
      <c r="E194" s="31"/>
      <c r="F194" s="32">
        <v>45790</v>
      </c>
      <c r="G194" s="32">
        <v>45966</v>
      </c>
      <c r="H194" s="20">
        <v>32505</v>
      </c>
      <c r="J194" s="8">
        <v>32505</v>
      </c>
      <c r="N194" s="8">
        <f t="shared" si="3"/>
        <v>32505</v>
      </c>
    </row>
    <row r="195" spans="1:19" x14ac:dyDescent="0.25">
      <c r="A195" s="29" t="s">
        <v>249</v>
      </c>
      <c r="B195" s="30" t="s">
        <v>250</v>
      </c>
      <c r="C195" s="30" t="s">
        <v>252</v>
      </c>
      <c r="D195" s="31" t="s">
        <v>565</v>
      </c>
      <c r="E195" s="31"/>
      <c r="F195" s="32">
        <v>45868</v>
      </c>
      <c r="G195" s="32">
        <v>45917</v>
      </c>
      <c r="H195" s="20">
        <v>3799.5</v>
      </c>
      <c r="J195" s="8">
        <v>3725</v>
      </c>
      <c r="L195" s="8">
        <f>3799.5-3725</f>
        <v>74.5</v>
      </c>
      <c r="N195" s="8">
        <f t="shared" si="3"/>
        <v>3799.5</v>
      </c>
    </row>
    <row r="196" spans="1:19" x14ac:dyDescent="0.25">
      <c r="A196" s="29" t="s">
        <v>249</v>
      </c>
      <c r="B196" s="30" t="s">
        <v>250</v>
      </c>
      <c r="C196" s="30" t="s">
        <v>253</v>
      </c>
      <c r="D196" s="31" t="s">
        <v>566</v>
      </c>
      <c r="E196" s="31"/>
      <c r="F196" s="32">
        <v>45882</v>
      </c>
      <c r="G196" s="32">
        <v>45931</v>
      </c>
      <c r="H196" s="20">
        <v>2550</v>
      </c>
      <c r="J196" s="8">
        <v>2500</v>
      </c>
      <c r="L196" s="8">
        <v>50</v>
      </c>
      <c r="N196" s="8">
        <f t="shared" si="3"/>
        <v>2550</v>
      </c>
    </row>
    <row r="197" spans="1:19" x14ac:dyDescent="0.25">
      <c r="A197" s="29" t="s">
        <v>249</v>
      </c>
      <c r="B197" s="30" t="s">
        <v>250</v>
      </c>
      <c r="C197" s="30" t="s">
        <v>254</v>
      </c>
      <c r="D197" s="31" t="s">
        <v>567</v>
      </c>
      <c r="E197" s="31"/>
      <c r="F197" s="32">
        <v>45889</v>
      </c>
      <c r="G197" s="32">
        <v>45938</v>
      </c>
      <c r="H197" s="20">
        <v>698.7</v>
      </c>
      <c r="J197" s="8">
        <v>685</v>
      </c>
      <c r="L197" s="8">
        <f>698.7-685</f>
        <v>13.700000000000045</v>
      </c>
      <c r="N197" s="8">
        <f t="shared" si="3"/>
        <v>698.7</v>
      </c>
    </row>
    <row r="198" spans="1:19" x14ac:dyDescent="0.25">
      <c r="A198" s="29" t="s">
        <v>249</v>
      </c>
      <c r="B198" s="30" t="s">
        <v>250</v>
      </c>
      <c r="C198" s="30" t="s">
        <v>255</v>
      </c>
      <c r="D198" s="31" t="s">
        <v>568</v>
      </c>
      <c r="E198" s="31"/>
      <c r="F198" s="32">
        <v>45889</v>
      </c>
      <c r="G198" s="32">
        <v>45938</v>
      </c>
      <c r="H198" s="20">
        <v>1137.3</v>
      </c>
      <c r="J198" s="8">
        <v>1115</v>
      </c>
      <c r="L198" s="8">
        <v>22.3</v>
      </c>
      <c r="N198" s="8">
        <f t="shared" si="3"/>
        <v>1137.3</v>
      </c>
    </row>
    <row r="199" spans="1:19" x14ac:dyDescent="0.25">
      <c r="A199" s="60" t="s">
        <v>249</v>
      </c>
      <c r="B199" s="61" t="s">
        <v>250</v>
      </c>
      <c r="C199" s="61" t="s">
        <v>256</v>
      </c>
      <c r="D199" s="62" t="s">
        <v>570</v>
      </c>
      <c r="E199" s="62"/>
      <c r="F199" s="63">
        <v>45889</v>
      </c>
      <c r="G199" s="63">
        <v>45938</v>
      </c>
      <c r="H199" s="27">
        <v>617.1</v>
      </c>
      <c r="I199" s="51">
        <f>SUM(H194:H199)</f>
        <v>41307.599999999999</v>
      </c>
      <c r="J199" s="28">
        <v>605</v>
      </c>
      <c r="K199" s="28"/>
      <c r="L199" s="28">
        <v>12.1</v>
      </c>
      <c r="M199" s="28"/>
      <c r="N199" s="28">
        <f t="shared" si="3"/>
        <v>617.1</v>
      </c>
      <c r="O199" s="55">
        <v>45938</v>
      </c>
      <c r="P199" s="26">
        <v>346479</v>
      </c>
      <c r="R199" s="24">
        <v>1077260</v>
      </c>
      <c r="S199" s="24" t="s">
        <v>664</v>
      </c>
    </row>
    <row r="200" spans="1:19" x14ac:dyDescent="0.25">
      <c r="A200" s="29" t="s">
        <v>661</v>
      </c>
      <c r="B200" s="30" t="s">
        <v>258</v>
      </c>
      <c r="C200" s="30" t="s">
        <v>259</v>
      </c>
      <c r="D200" s="31" t="s">
        <v>569</v>
      </c>
      <c r="E200" s="31"/>
      <c r="F200" s="32">
        <v>45901</v>
      </c>
      <c r="G200" s="32">
        <v>45924</v>
      </c>
      <c r="H200" s="20">
        <v>225.75</v>
      </c>
      <c r="J200" s="8">
        <v>225.75</v>
      </c>
      <c r="N200" s="8">
        <f t="shared" si="3"/>
        <v>225.75</v>
      </c>
    </row>
    <row r="201" spans="1:19" x14ac:dyDescent="0.25">
      <c r="A201" s="29" t="s">
        <v>257</v>
      </c>
      <c r="B201" s="30" t="s">
        <v>258</v>
      </c>
      <c r="C201" s="30" t="s">
        <v>260</v>
      </c>
      <c r="D201" s="31" t="s">
        <v>571</v>
      </c>
      <c r="E201" s="31"/>
      <c r="F201" s="32">
        <v>45901</v>
      </c>
      <c r="G201" s="32">
        <v>45924</v>
      </c>
      <c r="H201" s="20">
        <v>236.25</v>
      </c>
      <c r="J201" s="8">
        <v>236.25</v>
      </c>
      <c r="N201" s="8">
        <f t="shared" si="3"/>
        <v>236.25</v>
      </c>
    </row>
    <row r="202" spans="1:19" x14ac:dyDescent="0.25">
      <c r="A202" s="29" t="s">
        <v>257</v>
      </c>
      <c r="B202" s="30" t="s">
        <v>258</v>
      </c>
      <c r="C202" s="30" t="s">
        <v>261</v>
      </c>
      <c r="D202" s="31" t="s">
        <v>572</v>
      </c>
      <c r="E202" s="31"/>
      <c r="F202" s="32">
        <v>45901</v>
      </c>
      <c r="G202" s="32">
        <v>45924</v>
      </c>
      <c r="H202" s="20">
        <v>252</v>
      </c>
      <c r="J202" s="8">
        <v>252</v>
      </c>
      <c r="N202" s="8">
        <f t="shared" si="3"/>
        <v>252</v>
      </c>
    </row>
    <row r="203" spans="1:19" x14ac:dyDescent="0.25">
      <c r="A203" s="29" t="s">
        <v>257</v>
      </c>
      <c r="B203" s="30" t="s">
        <v>258</v>
      </c>
      <c r="C203" s="30" t="s">
        <v>262</v>
      </c>
      <c r="D203" s="31" t="s">
        <v>573</v>
      </c>
      <c r="E203" s="31"/>
      <c r="F203" s="32">
        <v>45901</v>
      </c>
      <c r="G203" s="32">
        <v>45924</v>
      </c>
      <c r="H203" s="20">
        <v>2236.5</v>
      </c>
      <c r="J203" s="8">
        <f>2236.5-106.5</f>
        <v>2130</v>
      </c>
      <c r="L203" s="8">
        <v>106.5</v>
      </c>
      <c r="N203" s="8">
        <f t="shared" si="3"/>
        <v>2236.5</v>
      </c>
    </row>
    <row r="204" spans="1:19" x14ac:dyDescent="0.25">
      <c r="A204" s="29" t="s">
        <v>257</v>
      </c>
      <c r="B204" s="30" t="s">
        <v>258</v>
      </c>
      <c r="C204" s="30" t="s">
        <v>263</v>
      </c>
      <c r="D204" s="31" t="s">
        <v>574</v>
      </c>
      <c r="E204" s="31"/>
      <c r="F204" s="32">
        <v>45901</v>
      </c>
      <c r="G204" s="32">
        <v>45924</v>
      </c>
      <c r="H204" s="20">
        <v>270</v>
      </c>
      <c r="J204" s="8">
        <v>270</v>
      </c>
      <c r="N204" s="8">
        <f t="shared" si="3"/>
        <v>270</v>
      </c>
    </row>
    <row r="205" spans="1:19" x14ac:dyDescent="0.25">
      <c r="A205" s="29" t="s">
        <v>257</v>
      </c>
      <c r="B205" s="30" t="s">
        <v>258</v>
      </c>
      <c r="C205" s="30" t="s">
        <v>264</v>
      </c>
      <c r="D205" s="31" t="s">
        <v>575</v>
      </c>
      <c r="E205" s="31"/>
      <c r="F205" s="32">
        <v>45901</v>
      </c>
      <c r="G205" s="32">
        <v>45924</v>
      </c>
      <c r="H205" s="20">
        <v>340</v>
      </c>
      <c r="J205" s="8">
        <v>340</v>
      </c>
      <c r="N205" s="8">
        <f t="shared" si="3"/>
        <v>340</v>
      </c>
    </row>
    <row r="206" spans="1:19" x14ac:dyDescent="0.25">
      <c r="A206" s="29" t="s">
        <v>257</v>
      </c>
      <c r="B206" s="30" t="s">
        <v>258</v>
      </c>
      <c r="C206" s="30" t="s">
        <v>265</v>
      </c>
      <c r="D206" s="31" t="s">
        <v>576</v>
      </c>
      <c r="E206" s="31"/>
      <c r="F206" s="32">
        <v>45901</v>
      </c>
      <c r="G206" s="32">
        <v>45924</v>
      </c>
      <c r="H206" s="20">
        <v>777</v>
      </c>
      <c r="J206" s="8">
        <f>777-37</f>
        <v>740</v>
      </c>
      <c r="L206" s="8">
        <v>37</v>
      </c>
      <c r="N206" s="8">
        <f t="shared" si="3"/>
        <v>777</v>
      </c>
    </row>
    <row r="207" spans="1:19" x14ac:dyDescent="0.25">
      <c r="A207" s="29" t="s">
        <v>257</v>
      </c>
      <c r="B207" s="30" t="s">
        <v>258</v>
      </c>
      <c r="C207" s="30" t="s">
        <v>266</v>
      </c>
      <c r="D207" s="31" t="s">
        <v>577</v>
      </c>
      <c r="E207" s="31"/>
      <c r="F207" s="32">
        <v>45901</v>
      </c>
      <c r="G207" s="32">
        <v>45924</v>
      </c>
      <c r="H207" s="20">
        <v>358</v>
      </c>
      <c r="J207" s="8">
        <v>358</v>
      </c>
      <c r="N207" s="8">
        <f t="shared" si="3"/>
        <v>358</v>
      </c>
    </row>
    <row r="208" spans="1:19" x14ac:dyDescent="0.25">
      <c r="A208" s="29" t="s">
        <v>257</v>
      </c>
      <c r="B208" s="30" t="s">
        <v>258</v>
      </c>
      <c r="C208" s="30" t="s">
        <v>267</v>
      </c>
      <c r="D208" s="31" t="s">
        <v>578</v>
      </c>
      <c r="E208" s="31"/>
      <c r="F208" s="32">
        <v>45901</v>
      </c>
      <c r="G208" s="32">
        <v>45924</v>
      </c>
      <c r="H208" s="20">
        <v>539.70000000000005</v>
      </c>
      <c r="J208" s="8">
        <f>539.7-25.7</f>
        <v>514</v>
      </c>
      <c r="L208" s="8">
        <v>25.7</v>
      </c>
      <c r="N208" s="8">
        <f t="shared" si="3"/>
        <v>539.70000000000005</v>
      </c>
    </row>
    <row r="209" spans="1:19" x14ac:dyDescent="0.25">
      <c r="A209" s="29" t="s">
        <v>257</v>
      </c>
      <c r="B209" s="30" t="s">
        <v>258</v>
      </c>
      <c r="C209" s="30" t="s">
        <v>268</v>
      </c>
      <c r="D209" s="31" t="s">
        <v>579</v>
      </c>
      <c r="E209" s="31"/>
      <c r="F209" s="32">
        <v>45881</v>
      </c>
      <c r="G209" s="32">
        <v>45903</v>
      </c>
      <c r="H209" s="20">
        <v>225.75</v>
      </c>
      <c r="J209" s="8">
        <f>225.75-10.75</f>
        <v>215</v>
      </c>
      <c r="L209" s="8">
        <v>10.75</v>
      </c>
      <c r="N209" s="8">
        <f t="shared" si="3"/>
        <v>225.75</v>
      </c>
    </row>
    <row r="210" spans="1:19" x14ac:dyDescent="0.25">
      <c r="A210" s="29" t="s">
        <v>257</v>
      </c>
      <c r="B210" s="30" t="s">
        <v>258</v>
      </c>
      <c r="C210" s="30" t="s">
        <v>269</v>
      </c>
      <c r="D210" s="31" t="s">
        <v>580</v>
      </c>
      <c r="E210" s="31"/>
      <c r="F210" s="32">
        <v>45881</v>
      </c>
      <c r="G210" s="32">
        <v>45903</v>
      </c>
      <c r="H210" s="20">
        <v>252</v>
      </c>
      <c r="J210" s="8">
        <v>240</v>
      </c>
      <c r="L210" s="8">
        <v>12</v>
      </c>
      <c r="N210" s="8">
        <f t="shared" si="3"/>
        <v>252</v>
      </c>
    </row>
    <row r="211" spans="1:19" x14ac:dyDescent="0.25">
      <c r="A211" s="29" t="s">
        <v>257</v>
      </c>
      <c r="B211" s="30" t="s">
        <v>258</v>
      </c>
      <c r="C211" s="30" t="s">
        <v>270</v>
      </c>
      <c r="D211" s="31" t="s">
        <v>581</v>
      </c>
      <c r="E211" s="31"/>
      <c r="F211" s="32">
        <v>45881</v>
      </c>
      <c r="G211" s="32">
        <v>45903</v>
      </c>
      <c r="H211" s="20">
        <v>1839.6</v>
      </c>
      <c r="J211" s="8">
        <f>1839.6-87.6</f>
        <v>1752</v>
      </c>
      <c r="L211" s="8">
        <v>87.6</v>
      </c>
      <c r="N211" s="8">
        <f t="shared" si="3"/>
        <v>1839.6</v>
      </c>
    </row>
    <row r="212" spans="1:19" x14ac:dyDescent="0.25">
      <c r="A212" s="60" t="s">
        <v>257</v>
      </c>
      <c r="B212" s="61" t="s">
        <v>258</v>
      </c>
      <c r="C212" s="61" t="s">
        <v>271</v>
      </c>
      <c r="D212" s="62" t="s">
        <v>582</v>
      </c>
      <c r="E212" s="62"/>
      <c r="F212" s="63">
        <v>45881</v>
      </c>
      <c r="G212" s="63">
        <v>45903</v>
      </c>
      <c r="H212" s="27">
        <v>378</v>
      </c>
      <c r="I212" s="51">
        <f>SUM(H200:H212)</f>
        <v>7930.5499999999993</v>
      </c>
      <c r="J212" s="28">
        <v>360</v>
      </c>
      <c r="K212" s="28"/>
      <c r="L212" s="28">
        <v>18</v>
      </c>
      <c r="M212" s="28"/>
      <c r="N212" s="28">
        <f t="shared" si="3"/>
        <v>378</v>
      </c>
      <c r="O212" s="55">
        <v>45938</v>
      </c>
      <c r="P212" s="26">
        <v>346491</v>
      </c>
      <c r="R212" s="24">
        <v>1077266</v>
      </c>
      <c r="S212" s="24" t="s">
        <v>664</v>
      </c>
    </row>
    <row r="213" spans="1:19" x14ac:dyDescent="0.25">
      <c r="A213" s="64" t="s">
        <v>272</v>
      </c>
      <c r="B213" s="65" t="s">
        <v>273</v>
      </c>
      <c r="C213" s="65" t="s">
        <v>274</v>
      </c>
      <c r="D213" s="66" t="s">
        <v>583</v>
      </c>
      <c r="E213" s="66"/>
      <c r="F213" s="67">
        <v>45883</v>
      </c>
      <c r="G213" s="67">
        <v>45931</v>
      </c>
      <c r="H213" s="68">
        <v>311.62</v>
      </c>
      <c r="I213" s="53">
        <f>SUM(H213)</f>
        <v>311.62</v>
      </c>
      <c r="J213" s="41">
        <v>311.62</v>
      </c>
      <c r="K213" s="41"/>
      <c r="L213" s="41"/>
      <c r="M213" s="41"/>
      <c r="N213" s="41">
        <f t="shared" si="3"/>
        <v>311.62</v>
      </c>
      <c r="O213" s="56">
        <v>45938</v>
      </c>
      <c r="P213" s="39">
        <v>346480</v>
      </c>
      <c r="R213" s="24">
        <v>1077269</v>
      </c>
      <c r="S213" s="24" t="s">
        <v>664</v>
      </c>
    </row>
    <row r="214" spans="1:19" x14ac:dyDescent="0.25">
      <c r="A214" s="7" t="s">
        <v>275</v>
      </c>
      <c r="B214" s="17" t="s">
        <v>276</v>
      </c>
      <c r="C214" s="17" t="s">
        <v>277</v>
      </c>
      <c r="D214" s="18"/>
      <c r="E214" s="18"/>
      <c r="F214" s="19">
        <v>45734</v>
      </c>
      <c r="G214" s="19">
        <v>45734</v>
      </c>
      <c r="H214" s="16">
        <v>-69.5</v>
      </c>
      <c r="I214" s="7"/>
      <c r="J214" s="9"/>
      <c r="K214" s="9"/>
      <c r="L214" s="9"/>
      <c r="M214" s="9"/>
      <c r="N214" s="9">
        <f t="shared" si="3"/>
        <v>0</v>
      </c>
    </row>
    <row r="215" spans="1:19" x14ac:dyDescent="0.25">
      <c r="A215" s="34" t="s">
        <v>275</v>
      </c>
      <c r="B215" s="35" t="s">
        <v>276</v>
      </c>
      <c r="C215" s="35" t="s">
        <v>278</v>
      </c>
      <c r="D215" s="36"/>
      <c r="E215" s="36"/>
      <c r="F215" s="37">
        <v>45869</v>
      </c>
      <c r="G215" s="37">
        <v>45869</v>
      </c>
      <c r="H215" s="38">
        <v>-39.5</v>
      </c>
      <c r="I215" s="38">
        <f>SUM(H214:H215)</f>
        <v>-109</v>
      </c>
      <c r="J215" s="49"/>
      <c r="K215" s="49"/>
      <c r="L215" s="49"/>
      <c r="M215" s="49"/>
      <c r="N215" s="49">
        <f t="shared" si="3"/>
        <v>0</v>
      </c>
      <c r="O215" s="26"/>
      <c r="P215" s="26"/>
    </row>
    <row r="216" spans="1:19" x14ac:dyDescent="0.25">
      <c r="A216" s="44" t="s">
        <v>279</v>
      </c>
      <c r="B216" s="45" t="s">
        <v>280</v>
      </c>
      <c r="C216" s="45" t="s">
        <v>281</v>
      </c>
      <c r="D216" s="46"/>
      <c r="E216" s="46"/>
      <c r="F216" s="47">
        <v>44621</v>
      </c>
      <c r="G216" s="47">
        <v>44621</v>
      </c>
      <c r="H216" s="48">
        <v>-29.95</v>
      </c>
      <c r="I216" s="48">
        <f>SUM(H216)</f>
        <v>-29.95</v>
      </c>
      <c r="J216" s="50"/>
      <c r="K216" s="50"/>
      <c r="L216" s="50"/>
      <c r="M216" s="50"/>
      <c r="N216" s="50">
        <f t="shared" si="3"/>
        <v>0</v>
      </c>
      <c r="O216" s="39"/>
      <c r="P216" s="39"/>
    </row>
    <row r="217" spans="1:19" x14ac:dyDescent="0.25">
      <c r="A217" s="29" t="s">
        <v>282</v>
      </c>
      <c r="B217" s="30" t="s">
        <v>283</v>
      </c>
      <c r="C217" s="30" t="s">
        <v>284</v>
      </c>
      <c r="D217" s="31" t="s">
        <v>584</v>
      </c>
      <c r="E217" s="31"/>
      <c r="F217" s="32">
        <v>45866</v>
      </c>
      <c r="G217" s="32">
        <v>45917</v>
      </c>
      <c r="H217" s="20">
        <v>4245.33</v>
      </c>
      <c r="J217" s="8">
        <v>3625</v>
      </c>
      <c r="K217" s="8">
        <f>453.13+138.2</f>
        <v>591.32999999999993</v>
      </c>
      <c r="L217" s="8">
        <v>174</v>
      </c>
      <c r="M217" s="8">
        <v>-145</v>
      </c>
      <c r="N217" s="8">
        <f t="shared" ref="N217:N226" si="4">SUM(J217:M217)</f>
        <v>4245.33</v>
      </c>
    </row>
    <row r="218" spans="1:19" x14ac:dyDescent="0.25">
      <c r="A218" s="29" t="s">
        <v>282</v>
      </c>
      <c r="B218" s="30" t="s">
        <v>283</v>
      </c>
      <c r="C218" s="30" t="s">
        <v>285</v>
      </c>
      <c r="D218" s="31" t="s">
        <v>587</v>
      </c>
      <c r="E218" s="31"/>
      <c r="F218" s="32">
        <v>45866</v>
      </c>
      <c r="G218" s="32">
        <v>45917</v>
      </c>
      <c r="H218" s="20">
        <v>702.68</v>
      </c>
      <c r="J218" s="8">
        <v>600</v>
      </c>
      <c r="K218" s="8">
        <f>75+22.88</f>
        <v>97.88</v>
      </c>
      <c r="L218" s="8">
        <v>28.8</v>
      </c>
      <c r="M218" s="8">
        <v>-24</v>
      </c>
      <c r="N218" s="8">
        <f t="shared" si="4"/>
        <v>702.68</v>
      </c>
    </row>
    <row r="219" spans="1:19" x14ac:dyDescent="0.25">
      <c r="A219" s="29" t="s">
        <v>282</v>
      </c>
      <c r="B219" s="30" t="s">
        <v>283</v>
      </c>
      <c r="C219" s="30" t="s">
        <v>286</v>
      </c>
      <c r="D219" s="31" t="s">
        <v>588</v>
      </c>
      <c r="E219" s="31"/>
      <c r="F219" s="32">
        <v>45866</v>
      </c>
      <c r="G219" s="32">
        <v>45917</v>
      </c>
      <c r="H219" s="20">
        <v>292.77999999999997</v>
      </c>
      <c r="J219" s="8">
        <v>250</v>
      </c>
      <c r="K219" s="8">
        <f>31.25+9.53</f>
        <v>40.78</v>
      </c>
      <c r="L219" s="8">
        <v>12</v>
      </c>
      <c r="M219" s="8">
        <v>-10</v>
      </c>
      <c r="N219" s="8">
        <f t="shared" si="4"/>
        <v>292.77999999999997</v>
      </c>
    </row>
    <row r="220" spans="1:19" x14ac:dyDescent="0.25">
      <c r="A220" s="29" t="s">
        <v>282</v>
      </c>
      <c r="B220" s="30" t="s">
        <v>283</v>
      </c>
      <c r="C220" s="30" t="s">
        <v>287</v>
      </c>
      <c r="D220" s="31" t="s">
        <v>589</v>
      </c>
      <c r="E220" s="31"/>
      <c r="F220" s="32">
        <v>45866</v>
      </c>
      <c r="G220" s="32">
        <v>45917</v>
      </c>
      <c r="H220" s="20">
        <v>146.4</v>
      </c>
      <c r="J220" s="8">
        <v>125</v>
      </c>
      <c r="K220" s="8">
        <f>15.63+4.77</f>
        <v>20.399999999999999</v>
      </c>
      <c r="L220" s="8">
        <v>6</v>
      </c>
      <c r="M220" s="8">
        <v>-5</v>
      </c>
      <c r="N220" s="8">
        <f t="shared" si="4"/>
        <v>146.4</v>
      </c>
    </row>
    <row r="221" spans="1:19" x14ac:dyDescent="0.25">
      <c r="A221" s="29" t="s">
        <v>282</v>
      </c>
      <c r="B221" s="30" t="s">
        <v>283</v>
      </c>
      <c r="C221" s="30" t="s">
        <v>288</v>
      </c>
      <c r="D221" s="31" t="s">
        <v>590</v>
      </c>
      <c r="E221" s="31"/>
      <c r="F221" s="32">
        <v>45866</v>
      </c>
      <c r="G221" s="32">
        <v>45917</v>
      </c>
      <c r="H221" s="20">
        <v>936.91</v>
      </c>
      <c r="J221" s="8">
        <v>800</v>
      </c>
      <c r="K221" s="8">
        <f>100.01+30.5</f>
        <v>130.51</v>
      </c>
      <c r="L221" s="8">
        <v>38.4</v>
      </c>
      <c r="M221" s="8">
        <v>-32</v>
      </c>
      <c r="N221" s="8">
        <f t="shared" si="4"/>
        <v>936.91</v>
      </c>
    </row>
    <row r="222" spans="1:19" x14ac:dyDescent="0.25">
      <c r="A222" s="29" t="s">
        <v>282</v>
      </c>
      <c r="B222" s="30" t="s">
        <v>283</v>
      </c>
      <c r="C222" s="30" t="s">
        <v>289</v>
      </c>
      <c r="D222" s="31" t="s">
        <v>591</v>
      </c>
      <c r="E222" s="31"/>
      <c r="F222" s="32">
        <v>45871</v>
      </c>
      <c r="G222" s="32">
        <v>45924</v>
      </c>
      <c r="H222" s="20">
        <v>702.68</v>
      </c>
      <c r="J222" s="8">
        <v>600</v>
      </c>
      <c r="K222" s="8">
        <f>75+22.88</f>
        <v>97.88</v>
      </c>
      <c r="L222" s="8">
        <v>28.8</v>
      </c>
      <c r="M222" s="8">
        <v>-24</v>
      </c>
      <c r="N222" s="8">
        <f t="shared" si="4"/>
        <v>702.68</v>
      </c>
    </row>
    <row r="223" spans="1:19" x14ac:dyDescent="0.25">
      <c r="A223" s="29" t="s">
        <v>282</v>
      </c>
      <c r="B223" s="30" t="s">
        <v>283</v>
      </c>
      <c r="C223" s="30" t="s">
        <v>290</v>
      </c>
      <c r="D223" s="31" t="s">
        <v>592</v>
      </c>
      <c r="E223" s="31"/>
      <c r="F223" s="32">
        <v>45871</v>
      </c>
      <c r="G223" s="32">
        <v>45924</v>
      </c>
      <c r="H223" s="20">
        <v>292.79000000000002</v>
      </c>
      <c r="J223" s="8">
        <v>250</v>
      </c>
      <c r="K223" s="8">
        <f>31.26+9.53</f>
        <v>40.79</v>
      </c>
      <c r="L223" s="8">
        <v>12</v>
      </c>
      <c r="M223" s="8">
        <v>-10</v>
      </c>
      <c r="N223" s="8">
        <f t="shared" si="4"/>
        <v>292.79000000000002</v>
      </c>
    </row>
    <row r="224" spans="1:19" x14ac:dyDescent="0.25">
      <c r="A224" s="29" t="s">
        <v>282</v>
      </c>
      <c r="B224" s="30" t="s">
        <v>283</v>
      </c>
      <c r="C224" s="30" t="s">
        <v>291</v>
      </c>
      <c r="D224" s="31" t="s">
        <v>593</v>
      </c>
      <c r="E224" s="31"/>
      <c r="F224" s="32">
        <v>45871</v>
      </c>
      <c r="G224" s="32">
        <v>45924</v>
      </c>
      <c r="H224" s="20">
        <v>527.02</v>
      </c>
      <c r="J224" s="8">
        <v>450</v>
      </c>
      <c r="K224" s="8">
        <f>56.26+17.16</f>
        <v>73.42</v>
      </c>
      <c r="L224" s="8">
        <v>21.6</v>
      </c>
      <c r="M224" s="8">
        <v>-18</v>
      </c>
      <c r="N224" s="8">
        <f t="shared" si="4"/>
        <v>527.02</v>
      </c>
    </row>
    <row r="225" spans="1:19" x14ac:dyDescent="0.25">
      <c r="A225" s="29" t="s">
        <v>282</v>
      </c>
      <c r="B225" s="30" t="s">
        <v>283</v>
      </c>
      <c r="C225" s="30" t="s">
        <v>292</v>
      </c>
      <c r="D225" s="31" t="s">
        <v>594</v>
      </c>
      <c r="E225" s="31"/>
      <c r="F225" s="32">
        <v>45880</v>
      </c>
      <c r="G225" s="32">
        <v>45931</v>
      </c>
      <c r="H225" s="20">
        <v>819.36</v>
      </c>
      <c r="J225" s="8">
        <v>700</v>
      </c>
      <c r="K225" s="8">
        <f>87.51+26.25</f>
        <v>113.76</v>
      </c>
      <c r="L225" s="8">
        <v>33.6</v>
      </c>
      <c r="M225" s="8">
        <v>-28</v>
      </c>
      <c r="N225" s="8">
        <f t="shared" si="4"/>
        <v>819.36</v>
      </c>
    </row>
    <row r="226" spans="1:19" x14ac:dyDescent="0.25">
      <c r="A226" s="60" t="s">
        <v>282</v>
      </c>
      <c r="B226" s="61" t="s">
        <v>283</v>
      </c>
      <c r="C226" s="61" t="s">
        <v>293</v>
      </c>
      <c r="D226" s="62" t="s">
        <v>595</v>
      </c>
      <c r="E226" s="62"/>
      <c r="F226" s="63">
        <v>45880</v>
      </c>
      <c r="G226" s="63">
        <v>45931</v>
      </c>
      <c r="H226" s="27">
        <v>1053.45</v>
      </c>
      <c r="I226" s="51">
        <f>SUM(H217:H226)</f>
        <v>9719.4000000000015</v>
      </c>
      <c r="J226" s="28">
        <v>900</v>
      </c>
      <c r="K226" s="28">
        <f>112.5+33.75</f>
        <v>146.25</v>
      </c>
      <c r="L226" s="28">
        <v>43.2</v>
      </c>
      <c r="M226" s="28">
        <v>-36</v>
      </c>
      <c r="N226" s="28">
        <f t="shared" si="4"/>
        <v>1053.45</v>
      </c>
      <c r="O226" s="55">
        <v>45938</v>
      </c>
      <c r="P226" s="26">
        <v>346481</v>
      </c>
      <c r="R226" s="24">
        <v>1077272</v>
      </c>
      <c r="S226" s="24" t="s">
        <v>664</v>
      </c>
    </row>
    <row r="227" spans="1:19" x14ac:dyDescent="0.25">
      <c r="A227" s="29" t="s">
        <v>294</v>
      </c>
      <c r="B227" s="30" t="s">
        <v>295</v>
      </c>
      <c r="C227" s="30" t="s">
        <v>296</v>
      </c>
      <c r="D227" s="31" t="s">
        <v>596</v>
      </c>
      <c r="E227" s="31"/>
      <c r="F227" s="32">
        <v>45896</v>
      </c>
      <c r="G227" s="32">
        <v>45917</v>
      </c>
      <c r="H227" s="20">
        <v>4220</v>
      </c>
      <c r="J227" s="8">
        <v>4220</v>
      </c>
      <c r="N227" s="8">
        <f t="shared" si="3"/>
        <v>4220</v>
      </c>
    </row>
    <row r="228" spans="1:19" x14ac:dyDescent="0.25">
      <c r="A228" s="29" t="s">
        <v>294</v>
      </c>
      <c r="B228" s="30" t="s">
        <v>295</v>
      </c>
      <c r="C228" s="30" t="s">
        <v>297</v>
      </c>
      <c r="D228" s="31" t="s">
        <v>597</v>
      </c>
      <c r="E228" s="31"/>
      <c r="F228" s="32">
        <v>45896</v>
      </c>
      <c r="G228" s="32">
        <v>45917</v>
      </c>
      <c r="H228" s="20">
        <v>1500</v>
      </c>
      <c r="J228" s="8">
        <v>1500</v>
      </c>
      <c r="N228" s="8">
        <f t="shared" si="3"/>
        <v>1500</v>
      </c>
    </row>
    <row r="229" spans="1:19" x14ac:dyDescent="0.25">
      <c r="A229" s="29" t="s">
        <v>294</v>
      </c>
      <c r="B229" s="30" t="s">
        <v>295</v>
      </c>
      <c r="C229" s="30" t="s">
        <v>298</v>
      </c>
      <c r="D229" s="31" t="s">
        <v>598</v>
      </c>
      <c r="E229" s="31"/>
      <c r="F229" s="32">
        <v>45896</v>
      </c>
      <c r="G229" s="32">
        <v>45917</v>
      </c>
      <c r="H229" s="20">
        <v>3364.2</v>
      </c>
      <c r="J229" s="8">
        <v>3364.2</v>
      </c>
      <c r="N229" s="8">
        <f t="shared" si="3"/>
        <v>3364.2</v>
      </c>
    </row>
    <row r="230" spans="1:19" x14ac:dyDescent="0.25">
      <c r="A230" s="29" t="s">
        <v>294</v>
      </c>
      <c r="B230" s="30" t="s">
        <v>295</v>
      </c>
      <c r="C230" s="30" t="s">
        <v>299</v>
      </c>
      <c r="D230" s="31" t="s">
        <v>599</v>
      </c>
      <c r="E230" s="31"/>
      <c r="F230" s="32">
        <v>45896</v>
      </c>
      <c r="G230" s="32">
        <v>45917</v>
      </c>
      <c r="H230" s="20">
        <v>925</v>
      </c>
      <c r="J230" s="8">
        <v>925</v>
      </c>
      <c r="N230" s="8">
        <f t="shared" si="3"/>
        <v>925</v>
      </c>
    </row>
    <row r="231" spans="1:19" x14ac:dyDescent="0.25">
      <c r="A231" s="29" t="s">
        <v>294</v>
      </c>
      <c r="B231" s="30" t="s">
        <v>295</v>
      </c>
      <c r="C231" s="30" t="s">
        <v>300</v>
      </c>
      <c r="D231" s="31" t="s">
        <v>604</v>
      </c>
      <c r="E231" s="31"/>
      <c r="F231" s="32">
        <v>45896</v>
      </c>
      <c r="G231" s="32">
        <v>45917</v>
      </c>
      <c r="H231" s="20">
        <v>425</v>
      </c>
      <c r="J231" s="8">
        <v>425</v>
      </c>
      <c r="N231" s="8">
        <f t="shared" si="3"/>
        <v>425</v>
      </c>
    </row>
    <row r="232" spans="1:19" x14ac:dyDescent="0.25">
      <c r="A232" s="29" t="s">
        <v>294</v>
      </c>
      <c r="B232" s="30" t="s">
        <v>295</v>
      </c>
      <c r="C232" s="30" t="s">
        <v>301</v>
      </c>
      <c r="D232" s="31" t="s">
        <v>605</v>
      </c>
      <c r="E232" s="31"/>
      <c r="F232" s="32">
        <v>45896</v>
      </c>
      <c r="G232" s="32">
        <v>45917</v>
      </c>
      <c r="H232" s="20">
        <v>925</v>
      </c>
      <c r="J232" s="8">
        <v>925</v>
      </c>
      <c r="N232" s="8">
        <f t="shared" si="3"/>
        <v>925</v>
      </c>
    </row>
    <row r="233" spans="1:19" x14ac:dyDescent="0.25">
      <c r="A233" s="29" t="s">
        <v>294</v>
      </c>
      <c r="B233" s="30" t="s">
        <v>295</v>
      </c>
      <c r="C233" s="30" t="s">
        <v>302</v>
      </c>
      <c r="D233" s="31" t="s">
        <v>606</v>
      </c>
      <c r="E233" s="31"/>
      <c r="F233" s="32">
        <v>45896</v>
      </c>
      <c r="G233" s="32">
        <v>45917</v>
      </c>
      <c r="H233" s="20">
        <v>260</v>
      </c>
      <c r="J233" s="8">
        <v>260</v>
      </c>
      <c r="N233" s="8">
        <f t="shared" si="3"/>
        <v>260</v>
      </c>
    </row>
    <row r="234" spans="1:19" x14ac:dyDescent="0.25">
      <c r="A234" s="29" t="s">
        <v>294</v>
      </c>
      <c r="B234" s="30" t="s">
        <v>295</v>
      </c>
      <c r="C234" s="30" t="s">
        <v>303</v>
      </c>
      <c r="D234" s="31" t="s">
        <v>607</v>
      </c>
      <c r="E234" s="31"/>
      <c r="F234" s="32">
        <v>45896</v>
      </c>
      <c r="G234" s="32">
        <v>45917</v>
      </c>
      <c r="H234" s="20">
        <v>1075</v>
      </c>
      <c r="J234" s="8">
        <v>1075</v>
      </c>
      <c r="N234" s="8">
        <f t="shared" si="3"/>
        <v>1075</v>
      </c>
    </row>
    <row r="235" spans="1:19" x14ac:dyDescent="0.25">
      <c r="A235" s="29" t="s">
        <v>294</v>
      </c>
      <c r="B235" s="30" t="s">
        <v>295</v>
      </c>
      <c r="C235" s="30" t="s">
        <v>304</v>
      </c>
      <c r="D235" s="31" t="s">
        <v>608</v>
      </c>
      <c r="E235" s="31"/>
      <c r="F235" s="32">
        <v>45896</v>
      </c>
      <c r="G235" s="32">
        <v>45917</v>
      </c>
      <c r="H235" s="20">
        <v>2980</v>
      </c>
      <c r="J235" s="8">
        <v>2980</v>
      </c>
      <c r="N235" s="8">
        <f t="shared" si="3"/>
        <v>2980</v>
      </c>
    </row>
    <row r="236" spans="1:19" x14ac:dyDescent="0.25">
      <c r="A236" s="29" t="s">
        <v>294</v>
      </c>
      <c r="B236" s="30" t="s">
        <v>295</v>
      </c>
      <c r="C236" s="30" t="s">
        <v>305</v>
      </c>
      <c r="D236" s="31" t="s">
        <v>610</v>
      </c>
      <c r="E236" s="31"/>
      <c r="F236" s="32">
        <v>45896</v>
      </c>
      <c r="G236" s="32">
        <v>45917</v>
      </c>
      <c r="H236" s="20">
        <v>1180</v>
      </c>
      <c r="J236" s="8">
        <v>1180</v>
      </c>
      <c r="N236" s="8">
        <f t="shared" si="3"/>
        <v>1180</v>
      </c>
    </row>
    <row r="237" spans="1:19" x14ac:dyDescent="0.25">
      <c r="A237" s="29" t="s">
        <v>294</v>
      </c>
      <c r="B237" s="30" t="s">
        <v>295</v>
      </c>
      <c r="C237" s="30" t="s">
        <v>306</v>
      </c>
      <c r="D237" s="31" t="s">
        <v>611</v>
      </c>
      <c r="E237" s="31"/>
      <c r="F237" s="32">
        <v>45896</v>
      </c>
      <c r="G237" s="32">
        <v>45917</v>
      </c>
      <c r="H237" s="20">
        <v>1375</v>
      </c>
      <c r="J237" s="8">
        <v>1375</v>
      </c>
      <c r="N237" s="8">
        <f t="shared" si="3"/>
        <v>1375</v>
      </c>
    </row>
    <row r="238" spans="1:19" x14ac:dyDescent="0.25">
      <c r="A238" s="29" t="s">
        <v>294</v>
      </c>
      <c r="B238" s="30" t="s">
        <v>295</v>
      </c>
      <c r="C238" s="30" t="s">
        <v>307</v>
      </c>
      <c r="D238" s="31" t="s">
        <v>612</v>
      </c>
      <c r="E238" s="31"/>
      <c r="F238" s="32">
        <v>45896</v>
      </c>
      <c r="G238" s="32">
        <v>45917</v>
      </c>
      <c r="H238" s="20">
        <v>1565</v>
      </c>
      <c r="J238" s="8">
        <v>1565</v>
      </c>
      <c r="N238" s="8">
        <f t="shared" si="3"/>
        <v>1565</v>
      </c>
    </row>
    <row r="239" spans="1:19" x14ac:dyDescent="0.25">
      <c r="A239" s="29" t="s">
        <v>294</v>
      </c>
      <c r="B239" s="30" t="s">
        <v>295</v>
      </c>
      <c r="C239" s="30" t="s">
        <v>308</v>
      </c>
      <c r="D239" s="31" t="s">
        <v>613</v>
      </c>
      <c r="E239" s="31"/>
      <c r="F239" s="32">
        <v>45896</v>
      </c>
      <c r="G239" s="32">
        <v>45917</v>
      </c>
      <c r="H239" s="20">
        <v>3700</v>
      </c>
      <c r="J239" s="8">
        <v>3700</v>
      </c>
      <c r="N239" s="8">
        <f t="shared" si="3"/>
        <v>3700</v>
      </c>
    </row>
    <row r="240" spans="1:19" x14ac:dyDescent="0.25">
      <c r="A240" s="29" t="s">
        <v>294</v>
      </c>
      <c r="B240" s="30" t="s">
        <v>295</v>
      </c>
      <c r="C240" s="30" t="s">
        <v>309</v>
      </c>
      <c r="D240" s="31" t="s">
        <v>614</v>
      </c>
      <c r="E240" s="31"/>
      <c r="F240" s="32">
        <v>45896</v>
      </c>
      <c r="G240" s="32">
        <v>45917</v>
      </c>
      <c r="H240" s="20">
        <v>1081.92</v>
      </c>
      <c r="J240" s="8">
        <v>1081.92</v>
      </c>
      <c r="N240" s="8">
        <f t="shared" si="3"/>
        <v>1081.92</v>
      </c>
    </row>
    <row r="241" spans="1:19" x14ac:dyDescent="0.25">
      <c r="A241" s="29" t="s">
        <v>294</v>
      </c>
      <c r="B241" s="30" t="s">
        <v>295</v>
      </c>
      <c r="C241" s="30" t="s">
        <v>310</v>
      </c>
      <c r="D241" s="31" t="s">
        <v>615</v>
      </c>
      <c r="E241" s="31"/>
      <c r="F241" s="32">
        <v>45896</v>
      </c>
      <c r="G241" s="32">
        <v>45917</v>
      </c>
      <c r="H241" s="20">
        <v>355</v>
      </c>
      <c r="J241" s="8">
        <v>355</v>
      </c>
      <c r="N241" s="8">
        <f t="shared" si="3"/>
        <v>355</v>
      </c>
    </row>
    <row r="242" spans="1:19" x14ac:dyDescent="0.25">
      <c r="A242" s="29" t="s">
        <v>294</v>
      </c>
      <c r="B242" s="30" t="s">
        <v>295</v>
      </c>
      <c r="C242" s="30" t="s">
        <v>311</v>
      </c>
      <c r="D242" s="31" t="s">
        <v>616</v>
      </c>
      <c r="E242" s="31"/>
      <c r="F242" s="32">
        <v>45896</v>
      </c>
      <c r="G242" s="32">
        <v>45917</v>
      </c>
      <c r="H242" s="20">
        <v>1380</v>
      </c>
      <c r="J242" s="8">
        <v>1380</v>
      </c>
      <c r="N242" s="8">
        <f t="shared" si="3"/>
        <v>1380</v>
      </c>
    </row>
    <row r="243" spans="1:19" x14ac:dyDescent="0.25">
      <c r="A243" s="29" t="s">
        <v>294</v>
      </c>
      <c r="B243" s="30" t="s">
        <v>295</v>
      </c>
      <c r="C243" s="30" t="s">
        <v>312</v>
      </c>
      <c r="D243" s="31" t="s">
        <v>617</v>
      </c>
      <c r="E243" s="31"/>
      <c r="F243" s="32">
        <v>45896</v>
      </c>
      <c r="G243" s="32">
        <v>45917</v>
      </c>
      <c r="H243" s="20">
        <v>965.6</v>
      </c>
      <c r="J243" s="8">
        <v>965.6</v>
      </c>
      <c r="N243" s="8">
        <f t="shared" si="3"/>
        <v>965.6</v>
      </c>
    </row>
    <row r="244" spans="1:19" x14ac:dyDescent="0.25">
      <c r="A244" s="29" t="s">
        <v>294</v>
      </c>
      <c r="B244" s="30" t="s">
        <v>295</v>
      </c>
      <c r="C244" s="30" t="s">
        <v>313</v>
      </c>
      <c r="D244" s="31" t="s">
        <v>618</v>
      </c>
      <c r="E244" s="31"/>
      <c r="F244" s="32">
        <v>45896</v>
      </c>
      <c r="G244" s="32">
        <v>45917</v>
      </c>
      <c r="H244" s="20">
        <v>375</v>
      </c>
      <c r="J244" s="8">
        <v>375</v>
      </c>
      <c r="N244" s="8">
        <f t="shared" si="3"/>
        <v>375</v>
      </c>
    </row>
    <row r="245" spans="1:19" x14ac:dyDescent="0.25">
      <c r="A245" s="60" t="s">
        <v>294</v>
      </c>
      <c r="B245" s="61" t="s">
        <v>295</v>
      </c>
      <c r="C245" s="61" t="s">
        <v>314</v>
      </c>
      <c r="D245" s="62" t="s">
        <v>619</v>
      </c>
      <c r="E245" s="62"/>
      <c r="F245" s="63">
        <v>45896</v>
      </c>
      <c r="G245" s="63">
        <v>45917</v>
      </c>
      <c r="H245" s="27">
        <v>383.4</v>
      </c>
      <c r="I245" s="51">
        <f>SUM(H227:H245)</f>
        <v>28035.120000000003</v>
      </c>
      <c r="J245" s="28">
        <v>383.4</v>
      </c>
      <c r="K245" s="28"/>
      <c r="L245" s="28"/>
      <c r="M245" s="28"/>
      <c r="N245" s="28">
        <f t="shared" si="3"/>
        <v>383.4</v>
      </c>
      <c r="O245" s="55">
        <v>45938</v>
      </c>
      <c r="P245" s="26">
        <v>2803512</v>
      </c>
      <c r="R245" s="24">
        <v>1077273</v>
      </c>
      <c r="S245" s="24" t="s">
        <v>664</v>
      </c>
    </row>
    <row r="246" spans="1:19" x14ac:dyDescent="0.25">
      <c r="A246" s="29" t="s">
        <v>315</v>
      </c>
      <c r="B246" s="30" t="s">
        <v>316</v>
      </c>
      <c r="C246" s="30" t="s">
        <v>317</v>
      </c>
      <c r="D246" s="31" t="s">
        <v>620</v>
      </c>
      <c r="E246" s="31"/>
      <c r="F246" s="32">
        <v>45898</v>
      </c>
      <c r="G246" s="32">
        <v>45917</v>
      </c>
      <c r="H246" s="20">
        <v>7143</v>
      </c>
      <c r="J246" s="8">
        <v>7118</v>
      </c>
      <c r="K246" s="8">
        <v>25</v>
      </c>
      <c r="N246" s="8">
        <f t="shared" si="3"/>
        <v>7143</v>
      </c>
    </row>
    <row r="247" spans="1:19" x14ac:dyDescent="0.25">
      <c r="A247" s="29" t="s">
        <v>315</v>
      </c>
      <c r="B247" s="30" t="s">
        <v>316</v>
      </c>
      <c r="C247" s="30" t="s">
        <v>318</v>
      </c>
      <c r="D247" s="31" t="s">
        <v>621</v>
      </c>
      <c r="E247" s="31"/>
      <c r="F247" s="32">
        <v>45898</v>
      </c>
      <c r="G247" s="32">
        <v>45917</v>
      </c>
      <c r="H247" s="20">
        <v>2104</v>
      </c>
      <c r="J247" s="8">
        <v>2104</v>
      </c>
      <c r="N247" s="8">
        <f t="shared" si="3"/>
        <v>2104</v>
      </c>
    </row>
    <row r="248" spans="1:19" x14ac:dyDescent="0.25">
      <c r="A248" s="29" t="s">
        <v>315</v>
      </c>
      <c r="B248" s="30" t="s">
        <v>316</v>
      </c>
      <c r="C248" s="30" t="s">
        <v>319</v>
      </c>
      <c r="D248" s="31" t="s">
        <v>622</v>
      </c>
      <c r="E248" s="31"/>
      <c r="F248" s="32">
        <v>45905</v>
      </c>
      <c r="G248" s="32">
        <v>45924</v>
      </c>
      <c r="H248" s="20">
        <v>2946</v>
      </c>
      <c r="J248" s="8">
        <v>2946</v>
      </c>
      <c r="N248" s="8">
        <f t="shared" si="3"/>
        <v>2946</v>
      </c>
    </row>
    <row r="249" spans="1:19" x14ac:dyDescent="0.25">
      <c r="A249" s="29" t="s">
        <v>315</v>
      </c>
      <c r="B249" s="30" t="s">
        <v>316</v>
      </c>
      <c r="C249" s="30" t="s">
        <v>320</v>
      </c>
      <c r="D249" s="31" t="s">
        <v>624</v>
      </c>
      <c r="E249" s="31"/>
      <c r="F249" s="32">
        <v>45905</v>
      </c>
      <c r="G249" s="32">
        <v>45924</v>
      </c>
      <c r="H249" s="20">
        <v>5120</v>
      </c>
      <c r="J249" s="8">
        <v>5120</v>
      </c>
      <c r="N249" s="8">
        <f t="shared" ref="N249:N291" si="5">SUM(J249:L249)</f>
        <v>5120</v>
      </c>
    </row>
    <row r="250" spans="1:19" x14ac:dyDescent="0.25">
      <c r="A250" s="29" t="s">
        <v>315</v>
      </c>
      <c r="B250" s="30" t="s">
        <v>316</v>
      </c>
      <c r="C250" s="30" t="s">
        <v>321</v>
      </c>
      <c r="D250" s="31" t="s">
        <v>624</v>
      </c>
      <c r="E250" s="31"/>
      <c r="F250" s="32">
        <v>45905</v>
      </c>
      <c r="G250" s="32">
        <v>45924</v>
      </c>
      <c r="H250" s="20">
        <v>1964</v>
      </c>
      <c r="J250" s="8">
        <v>1964</v>
      </c>
      <c r="N250" s="8">
        <f t="shared" si="5"/>
        <v>1964</v>
      </c>
    </row>
    <row r="251" spans="1:19" x14ac:dyDescent="0.25">
      <c r="A251" s="29" t="s">
        <v>315</v>
      </c>
      <c r="B251" s="30" t="s">
        <v>316</v>
      </c>
      <c r="C251" s="30" t="s">
        <v>322</v>
      </c>
      <c r="D251" s="31" t="s">
        <v>626</v>
      </c>
      <c r="E251" s="31"/>
      <c r="F251" s="32">
        <v>45905</v>
      </c>
      <c r="G251" s="32">
        <v>45924</v>
      </c>
      <c r="H251" s="20">
        <v>2946</v>
      </c>
      <c r="J251" s="8">
        <v>2946</v>
      </c>
      <c r="N251" s="8">
        <f t="shared" si="5"/>
        <v>2946</v>
      </c>
    </row>
    <row r="252" spans="1:19" x14ac:dyDescent="0.25">
      <c r="A252" s="60" t="s">
        <v>315</v>
      </c>
      <c r="B252" s="61" t="s">
        <v>316</v>
      </c>
      <c r="C252" s="61" t="s">
        <v>323</v>
      </c>
      <c r="D252" s="62" t="s">
        <v>627</v>
      </c>
      <c r="E252" s="62"/>
      <c r="F252" s="63">
        <v>45905</v>
      </c>
      <c r="G252" s="63">
        <v>45924</v>
      </c>
      <c r="H252" s="27">
        <v>8022</v>
      </c>
      <c r="I252" s="51">
        <f>SUM(H246:H252)</f>
        <v>30245</v>
      </c>
      <c r="J252" s="28">
        <v>7997</v>
      </c>
      <c r="K252" s="28">
        <v>25</v>
      </c>
      <c r="L252" s="28"/>
      <c r="M252" s="28"/>
      <c r="N252" s="28">
        <f t="shared" si="5"/>
        <v>8022</v>
      </c>
      <c r="O252" s="55">
        <v>45938</v>
      </c>
      <c r="P252" s="26">
        <v>346492</v>
      </c>
      <c r="R252" s="24">
        <v>1077288</v>
      </c>
      <c r="S252" s="24" t="s">
        <v>664</v>
      </c>
    </row>
    <row r="253" spans="1:19" x14ac:dyDescent="0.25">
      <c r="A253" s="29" t="s">
        <v>324</v>
      </c>
      <c r="B253" s="30" t="s">
        <v>325</v>
      </c>
      <c r="C253" s="30" t="s">
        <v>326</v>
      </c>
      <c r="D253" s="31" t="s">
        <v>629</v>
      </c>
      <c r="E253" s="31"/>
      <c r="F253" s="32">
        <v>45895</v>
      </c>
      <c r="G253" s="32">
        <v>45917</v>
      </c>
      <c r="H253" s="20">
        <v>3391.66</v>
      </c>
      <c r="J253" s="8">
        <v>2800</v>
      </c>
      <c r="K253" s="8">
        <f>443.19+148.47</f>
        <v>591.66</v>
      </c>
      <c r="N253" s="8">
        <f t="shared" si="5"/>
        <v>3391.66</v>
      </c>
    </row>
    <row r="254" spans="1:19" x14ac:dyDescent="0.25">
      <c r="A254" s="60" t="s">
        <v>324</v>
      </c>
      <c r="B254" s="61" t="s">
        <v>325</v>
      </c>
      <c r="C254" s="61" t="s">
        <v>327</v>
      </c>
      <c r="D254" s="62" t="s">
        <v>630</v>
      </c>
      <c r="E254" s="62"/>
      <c r="F254" s="63">
        <v>45895</v>
      </c>
      <c r="G254" s="63">
        <v>45917</v>
      </c>
      <c r="H254" s="27">
        <v>1045.1600000000001</v>
      </c>
      <c r="I254" s="51">
        <f>SUM(H253:H254)</f>
        <v>4436.82</v>
      </c>
      <c r="J254" s="28">
        <v>980</v>
      </c>
      <c r="K254" s="28">
        <f>48.81+16.35</f>
        <v>65.16</v>
      </c>
      <c r="L254" s="28"/>
      <c r="M254" s="28"/>
      <c r="N254" s="28">
        <f t="shared" si="5"/>
        <v>1045.1600000000001</v>
      </c>
      <c r="O254" s="55">
        <v>45938</v>
      </c>
      <c r="P254" s="26">
        <v>346494</v>
      </c>
      <c r="R254" s="24">
        <v>1077289</v>
      </c>
      <c r="S254" s="24" t="s">
        <v>664</v>
      </c>
    </row>
    <row r="255" spans="1:19" x14ac:dyDescent="0.25">
      <c r="A255" s="29" t="s">
        <v>632</v>
      </c>
      <c r="B255" s="30" t="s">
        <v>328</v>
      </c>
      <c r="C255" s="30" t="s">
        <v>329</v>
      </c>
      <c r="D255" s="31" t="s">
        <v>631</v>
      </c>
      <c r="E255" s="31"/>
      <c r="F255" s="32">
        <v>45883</v>
      </c>
      <c r="G255" s="32">
        <v>45931</v>
      </c>
      <c r="H255" s="20">
        <v>1025.57</v>
      </c>
      <c r="J255" s="8">
        <v>1025.57</v>
      </c>
      <c r="N255" s="8">
        <f t="shared" si="5"/>
        <v>1025.57</v>
      </c>
    </row>
    <row r="256" spans="1:19" x14ac:dyDescent="0.25">
      <c r="A256" s="60" t="s">
        <v>632</v>
      </c>
      <c r="B256" s="61" t="s">
        <v>328</v>
      </c>
      <c r="C256" s="61" t="s">
        <v>330</v>
      </c>
      <c r="D256" s="62" t="s">
        <v>633</v>
      </c>
      <c r="E256" s="62"/>
      <c r="F256" s="63">
        <v>45883</v>
      </c>
      <c r="G256" s="63">
        <v>45931</v>
      </c>
      <c r="H256" s="27">
        <v>758.52</v>
      </c>
      <c r="I256" s="51">
        <f>SUM(H255:H256)</f>
        <v>1784.09</v>
      </c>
      <c r="J256" s="28">
        <v>758.52</v>
      </c>
      <c r="K256" s="28"/>
      <c r="L256" s="28"/>
      <c r="M256" s="28"/>
      <c r="N256" s="28">
        <f t="shared" si="5"/>
        <v>758.52</v>
      </c>
      <c r="O256" s="55">
        <v>45938</v>
      </c>
      <c r="P256" s="26">
        <v>346480</v>
      </c>
      <c r="R256" s="24">
        <v>1077291</v>
      </c>
      <c r="S256" s="24" t="s">
        <v>664</v>
      </c>
    </row>
    <row r="257" spans="1:16" x14ac:dyDescent="0.25">
      <c r="A257" s="44" t="s">
        <v>331</v>
      </c>
      <c r="B257" s="45" t="s">
        <v>332</v>
      </c>
      <c r="C257" s="45" t="s">
        <v>333</v>
      </c>
      <c r="D257" s="46"/>
      <c r="E257" s="46"/>
      <c r="F257" s="47">
        <v>45686</v>
      </c>
      <c r="G257" s="47">
        <v>45686</v>
      </c>
      <c r="H257" s="48">
        <v>-49.5</v>
      </c>
      <c r="I257" s="48">
        <f>SUM(H257)</f>
        <v>-49.5</v>
      </c>
      <c r="J257" s="41"/>
      <c r="K257" s="41"/>
      <c r="L257" s="41"/>
      <c r="M257" s="41"/>
      <c r="N257" s="41">
        <f t="shared" si="5"/>
        <v>0</v>
      </c>
      <c r="O257" s="40"/>
      <c r="P257" s="39"/>
    </row>
    <row r="258" spans="1:16" x14ac:dyDescent="0.25">
      <c r="A258" s="29" t="s">
        <v>637</v>
      </c>
      <c r="B258" s="30" t="s">
        <v>334</v>
      </c>
      <c r="C258" s="30" t="s">
        <v>335</v>
      </c>
      <c r="D258" s="31" t="s">
        <v>634</v>
      </c>
      <c r="E258" s="31"/>
      <c r="F258" s="32">
        <v>45869</v>
      </c>
      <c r="G258" s="32">
        <v>45917</v>
      </c>
      <c r="H258" s="20">
        <v>6576.3</v>
      </c>
      <c r="J258" s="8">
        <v>6576.3</v>
      </c>
      <c r="N258" s="8">
        <f t="shared" si="5"/>
        <v>6576.3</v>
      </c>
    </row>
    <row r="259" spans="1:16" x14ac:dyDescent="0.25">
      <c r="A259" s="29" t="s">
        <v>637</v>
      </c>
      <c r="B259" s="30" t="s">
        <v>334</v>
      </c>
      <c r="C259" s="30" t="s">
        <v>336</v>
      </c>
      <c r="D259" s="31" t="s">
        <v>634</v>
      </c>
      <c r="E259" s="31"/>
      <c r="F259" s="32">
        <v>45869</v>
      </c>
      <c r="G259" s="32">
        <v>45917</v>
      </c>
      <c r="H259" s="20">
        <v>3010.8</v>
      </c>
      <c r="J259" s="8">
        <v>3010.8</v>
      </c>
      <c r="N259" s="8">
        <f t="shared" si="5"/>
        <v>3010.8</v>
      </c>
    </row>
    <row r="260" spans="1:16" x14ac:dyDescent="0.25">
      <c r="A260" s="29" t="s">
        <v>637</v>
      </c>
      <c r="B260" s="30" t="s">
        <v>334</v>
      </c>
      <c r="C260" s="30" t="s">
        <v>337</v>
      </c>
      <c r="D260" s="31" t="s">
        <v>625</v>
      </c>
      <c r="E260" s="31"/>
      <c r="F260" s="32">
        <v>45876</v>
      </c>
      <c r="G260" s="32">
        <v>45924</v>
      </c>
      <c r="H260" s="20">
        <v>2459.6999999999998</v>
      </c>
      <c r="J260" s="8">
        <v>2459.6999999999998</v>
      </c>
      <c r="N260" s="8">
        <f t="shared" si="5"/>
        <v>2459.6999999999998</v>
      </c>
    </row>
    <row r="261" spans="1:16" x14ac:dyDescent="0.25">
      <c r="A261" s="29" t="s">
        <v>637</v>
      </c>
      <c r="B261" s="30" t="s">
        <v>334</v>
      </c>
      <c r="C261" s="30" t="s">
        <v>338</v>
      </c>
      <c r="D261" s="31" t="s">
        <v>625</v>
      </c>
      <c r="E261" s="31"/>
      <c r="F261" s="32">
        <v>45876</v>
      </c>
      <c r="G261" s="32">
        <v>45924</v>
      </c>
      <c r="H261" s="20">
        <v>1451.1</v>
      </c>
      <c r="J261" s="8">
        <v>1451.1</v>
      </c>
      <c r="N261" s="8">
        <f t="shared" si="5"/>
        <v>1451.1</v>
      </c>
    </row>
    <row r="262" spans="1:16" x14ac:dyDescent="0.25">
      <c r="A262" s="29" t="s">
        <v>637</v>
      </c>
      <c r="B262" s="30" t="s">
        <v>334</v>
      </c>
      <c r="C262" s="30" t="s">
        <v>339</v>
      </c>
      <c r="D262" s="31" t="s">
        <v>634</v>
      </c>
      <c r="E262" s="31"/>
      <c r="F262" s="32">
        <v>45876</v>
      </c>
      <c r="G262" s="32">
        <v>45924</v>
      </c>
      <c r="H262" s="20">
        <v>524.9</v>
      </c>
      <c r="J262" s="8">
        <v>524.9</v>
      </c>
      <c r="N262" s="8">
        <f t="shared" si="5"/>
        <v>524.9</v>
      </c>
    </row>
    <row r="263" spans="1:16" x14ac:dyDescent="0.25">
      <c r="A263" s="29" t="s">
        <v>637</v>
      </c>
      <c r="B263" s="30" t="s">
        <v>334</v>
      </c>
      <c r="C263" s="30" t="s">
        <v>340</v>
      </c>
      <c r="D263" s="31" t="s">
        <v>638</v>
      </c>
      <c r="E263" s="31"/>
      <c r="F263" s="32">
        <v>45883</v>
      </c>
      <c r="G263" s="32">
        <v>45931</v>
      </c>
      <c r="H263" s="20">
        <v>1659.4</v>
      </c>
      <c r="J263" s="8">
        <v>1659.4</v>
      </c>
      <c r="N263" s="8">
        <f t="shared" si="5"/>
        <v>1659.4</v>
      </c>
    </row>
    <row r="264" spans="1:16" x14ac:dyDescent="0.25">
      <c r="A264" s="29" t="s">
        <v>637</v>
      </c>
      <c r="B264" s="30" t="s">
        <v>334</v>
      </c>
      <c r="C264" s="30" t="s">
        <v>341</v>
      </c>
      <c r="D264" s="31" t="s">
        <v>639</v>
      </c>
      <c r="E264" s="31"/>
      <c r="F264" s="32">
        <v>45883</v>
      </c>
      <c r="G264" s="32">
        <v>45931</v>
      </c>
      <c r="H264" s="20">
        <v>1300</v>
      </c>
      <c r="J264" s="8">
        <v>1300</v>
      </c>
      <c r="N264" s="8">
        <f t="shared" si="5"/>
        <v>1300</v>
      </c>
    </row>
    <row r="265" spans="1:16" x14ac:dyDescent="0.25">
      <c r="A265" s="29" t="s">
        <v>637</v>
      </c>
      <c r="B265" s="30" t="s">
        <v>334</v>
      </c>
      <c r="C265" s="30" t="s">
        <v>342</v>
      </c>
      <c r="D265" s="31" t="s">
        <v>638</v>
      </c>
      <c r="E265" s="31"/>
      <c r="F265" s="32">
        <v>45883</v>
      </c>
      <c r="G265" s="32">
        <v>45931</v>
      </c>
      <c r="H265" s="20">
        <v>25</v>
      </c>
      <c r="J265" s="8">
        <v>25</v>
      </c>
      <c r="N265" s="8">
        <f t="shared" si="5"/>
        <v>25</v>
      </c>
    </row>
    <row r="266" spans="1:16" x14ac:dyDescent="0.25">
      <c r="A266" s="29" t="s">
        <v>637</v>
      </c>
      <c r="B266" s="30" t="s">
        <v>334</v>
      </c>
      <c r="C266" s="30" t="s">
        <v>343</v>
      </c>
      <c r="D266" s="31" t="s">
        <v>634</v>
      </c>
      <c r="E266" s="31"/>
      <c r="F266" s="32">
        <v>45883</v>
      </c>
      <c r="G266" s="32">
        <v>45931</v>
      </c>
      <c r="H266" s="20">
        <v>1167.9000000000001</v>
      </c>
      <c r="J266" s="8">
        <v>1167.9000000000001</v>
      </c>
      <c r="N266" s="8">
        <f t="shared" si="5"/>
        <v>1167.9000000000001</v>
      </c>
    </row>
    <row r="267" spans="1:16" x14ac:dyDescent="0.25">
      <c r="A267" s="29" t="s">
        <v>637</v>
      </c>
      <c r="B267" s="30" t="s">
        <v>334</v>
      </c>
      <c r="C267" s="30" t="s">
        <v>344</v>
      </c>
      <c r="D267" s="31" t="s">
        <v>636</v>
      </c>
      <c r="E267" s="31"/>
      <c r="F267" s="32">
        <v>45883</v>
      </c>
      <c r="G267" s="32">
        <v>45931</v>
      </c>
      <c r="H267" s="20">
        <v>640.20000000000005</v>
      </c>
      <c r="J267" s="8">
        <v>640.20000000000005</v>
      </c>
      <c r="N267" s="8">
        <f t="shared" si="5"/>
        <v>640.20000000000005</v>
      </c>
    </row>
    <row r="268" spans="1:16" x14ac:dyDescent="0.25">
      <c r="A268" s="29" t="s">
        <v>637</v>
      </c>
      <c r="B268" s="30" t="s">
        <v>334</v>
      </c>
      <c r="C268" s="30" t="s">
        <v>345</v>
      </c>
      <c r="D268" s="31" t="s">
        <v>635</v>
      </c>
      <c r="E268" s="31"/>
      <c r="F268" s="32">
        <v>45883</v>
      </c>
      <c r="G268" s="32">
        <v>45931</v>
      </c>
      <c r="H268" s="20">
        <v>583.6</v>
      </c>
      <c r="J268" s="8">
        <v>583.6</v>
      </c>
      <c r="N268" s="8">
        <f t="shared" si="5"/>
        <v>583.6</v>
      </c>
    </row>
    <row r="269" spans="1:16" x14ac:dyDescent="0.25">
      <c r="A269" s="29" t="s">
        <v>637</v>
      </c>
      <c r="B269" s="30" t="s">
        <v>334</v>
      </c>
      <c r="C269" s="30" t="s">
        <v>346</v>
      </c>
      <c r="D269" s="31" t="s">
        <v>640</v>
      </c>
      <c r="E269" s="31"/>
      <c r="F269" s="32">
        <v>45890</v>
      </c>
      <c r="G269" s="32">
        <v>45938</v>
      </c>
      <c r="H269" s="20">
        <v>6535.5</v>
      </c>
      <c r="J269" s="8">
        <v>6535.5</v>
      </c>
      <c r="N269" s="8">
        <f t="shared" si="5"/>
        <v>6535.5</v>
      </c>
    </row>
    <row r="270" spans="1:16" x14ac:dyDescent="0.25">
      <c r="A270" s="29" t="s">
        <v>637</v>
      </c>
      <c r="B270" s="30" t="s">
        <v>334</v>
      </c>
      <c r="C270" s="30" t="s">
        <v>347</v>
      </c>
      <c r="D270" s="31" t="s">
        <v>640</v>
      </c>
      <c r="E270" s="31"/>
      <c r="F270" s="32">
        <v>45890</v>
      </c>
      <c r="G270" s="32">
        <v>45938</v>
      </c>
      <c r="H270" s="20">
        <v>1393.5</v>
      </c>
      <c r="J270" s="8">
        <v>1393.5</v>
      </c>
      <c r="N270" s="8">
        <f t="shared" si="5"/>
        <v>1393.5</v>
      </c>
    </row>
    <row r="271" spans="1:16" x14ac:dyDescent="0.25">
      <c r="A271" s="29" t="s">
        <v>637</v>
      </c>
      <c r="B271" s="30" t="s">
        <v>334</v>
      </c>
      <c r="C271" s="30" t="s">
        <v>348</v>
      </c>
      <c r="D271" s="31" t="s">
        <v>628</v>
      </c>
      <c r="E271" s="31"/>
      <c r="F271" s="32">
        <v>45897</v>
      </c>
      <c r="G271" s="32">
        <v>45945</v>
      </c>
      <c r="H271" s="20">
        <v>4244.3</v>
      </c>
      <c r="J271" s="8">
        <v>4244.3</v>
      </c>
      <c r="N271" s="8">
        <f t="shared" si="5"/>
        <v>4244.3</v>
      </c>
    </row>
    <row r="272" spans="1:16" x14ac:dyDescent="0.25">
      <c r="A272" s="29" t="s">
        <v>637</v>
      </c>
      <c r="B272" s="30" t="s">
        <v>334</v>
      </c>
      <c r="C272" s="30" t="s">
        <v>349</v>
      </c>
      <c r="D272" s="31" t="s">
        <v>641</v>
      </c>
      <c r="E272" s="31"/>
      <c r="F272" s="32">
        <v>45897</v>
      </c>
      <c r="G272" s="32">
        <v>45945</v>
      </c>
      <c r="H272" s="20">
        <v>12705</v>
      </c>
      <c r="J272" s="8">
        <v>12705</v>
      </c>
      <c r="N272" s="8">
        <f t="shared" si="5"/>
        <v>12705</v>
      </c>
    </row>
    <row r="273" spans="1:19" x14ac:dyDescent="0.25">
      <c r="A273" s="29" t="s">
        <v>637</v>
      </c>
      <c r="B273" s="30" t="s">
        <v>334</v>
      </c>
      <c r="C273" s="30" t="s">
        <v>350</v>
      </c>
      <c r="D273" s="31" t="s">
        <v>642</v>
      </c>
      <c r="E273" s="31"/>
      <c r="F273" s="32">
        <v>45869</v>
      </c>
      <c r="G273" s="32">
        <v>45917</v>
      </c>
      <c r="H273" s="20">
        <v>758.24</v>
      </c>
      <c r="J273" s="8">
        <v>758.24</v>
      </c>
      <c r="N273" s="8">
        <f t="shared" si="5"/>
        <v>758.24</v>
      </c>
    </row>
    <row r="274" spans="1:19" x14ac:dyDescent="0.25">
      <c r="A274" s="60" t="s">
        <v>637</v>
      </c>
      <c r="B274" s="61" t="s">
        <v>334</v>
      </c>
      <c r="C274" s="61" t="s">
        <v>351</v>
      </c>
      <c r="D274" s="62" t="s">
        <v>623</v>
      </c>
      <c r="E274" s="62"/>
      <c r="F274" s="63">
        <v>45904</v>
      </c>
      <c r="G274" s="63">
        <v>45952</v>
      </c>
      <c r="H274" s="27">
        <v>227.3</v>
      </c>
      <c r="I274" s="51">
        <f>SUM(H258:H274)</f>
        <v>45262.74</v>
      </c>
      <c r="J274" s="28">
        <v>227.3</v>
      </c>
      <c r="K274" s="28"/>
      <c r="L274" s="28"/>
      <c r="M274" s="28"/>
      <c r="N274" s="28">
        <f t="shared" si="5"/>
        <v>227.3</v>
      </c>
      <c r="O274" s="58">
        <v>45938</v>
      </c>
      <c r="P274" s="59">
        <v>346493</v>
      </c>
      <c r="R274" s="24">
        <v>1077275</v>
      </c>
      <c r="S274" s="24" t="s">
        <v>664</v>
      </c>
    </row>
    <row r="275" spans="1:19" x14ac:dyDescent="0.25">
      <c r="A275" s="29" t="s">
        <v>652</v>
      </c>
      <c r="B275" s="30" t="s">
        <v>366</v>
      </c>
      <c r="C275" s="30" t="s">
        <v>367</v>
      </c>
      <c r="D275" s="31"/>
      <c r="E275" s="31"/>
      <c r="F275" s="32">
        <v>45807</v>
      </c>
      <c r="G275" s="32">
        <v>45899</v>
      </c>
      <c r="H275" s="20">
        <v>-2250</v>
      </c>
      <c r="I275" s="54"/>
      <c r="J275" s="8">
        <v>-2250</v>
      </c>
      <c r="N275" s="8">
        <f>SUM(J275:L275)</f>
        <v>-2250</v>
      </c>
      <c r="O275" s="54"/>
      <c r="P275" s="54"/>
    </row>
    <row r="276" spans="1:19" x14ac:dyDescent="0.25">
      <c r="A276" s="29" t="s">
        <v>652</v>
      </c>
      <c r="B276" s="30" t="s">
        <v>366</v>
      </c>
      <c r="C276" s="30" t="s">
        <v>368</v>
      </c>
      <c r="D276" s="31" t="s">
        <v>653</v>
      </c>
      <c r="E276" s="31"/>
      <c r="F276" s="32">
        <v>45869</v>
      </c>
      <c r="G276" s="32">
        <v>45917</v>
      </c>
      <c r="H276" s="20">
        <v>1880</v>
      </c>
      <c r="I276" s="54"/>
      <c r="J276" s="8">
        <v>1875</v>
      </c>
      <c r="K276" s="8">
        <v>5</v>
      </c>
      <c r="N276" s="8">
        <f>SUM(J276:L276)</f>
        <v>1880</v>
      </c>
      <c r="O276" s="54"/>
      <c r="P276" s="54"/>
    </row>
    <row r="277" spans="1:19" x14ac:dyDescent="0.25">
      <c r="A277" s="60" t="s">
        <v>652</v>
      </c>
      <c r="B277" s="61" t="s">
        <v>366</v>
      </c>
      <c r="C277" s="61" t="s">
        <v>369</v>
      </c>
      <c r="D277" s="62" t="s">
        <v>654</v>
      </c>
      <c r="E277" s="62"/>
      <c r="F277" s="63">
        <v>45869</v>
      </c>
      <c r="G277" s="63">
        <v>45917</v>
      </c>
      <c r="H277" s="27">
        <v>225</v>
      </c>
      <c r="I277" s="51">
        <f>SUM(H275:H277)</f>
        <v>-145</v>
      </c>
      <c r="J277" s="28">
        <v>225</v>
      </c>
      <c r="K277" s="28"/>
      <c r="L277" s="28"/>
      <c r="M277" s="28"/>
      <c r="N277" s="28">
        <f>SUM(J277:L277)</f>
        <v>225</v>
      </c>
      <c r="O277" s="58">
        <v>45938</v>
      </c>
      <c r="P277" s="59">
        <v>346493</v>
      </c>
    </row>
    <row r="278" spans="1:19" x14ac:dyDescent="0.25">
      <c r="A278" s="69" t="s">
        <v>352</v>
      </c>
      <c r="B278" s="70" t="s">
        <v>353</v>
      </c>
      <c r="C278" s="70" t="s">
        <v>354</v>
      </c>
      <c r="D278" s="71"/>
      <c r="E278" s="71"/>
      <c r="F278" s="72">
        <v>45889</v>
      </c>
      <c r="G278" s="72">
        <v>45903</v>
      </c>
      <c r="H278" s="73">
        <v>1899.22</v>
      </c>
      <c r="I278" s="73">
        <f>SUM(H278)</f>
        <v>1899.22</v>
      </c>
      <c r="J278" s="50"/>
      <c r="K278" s="50"/>
      <c r="L278" s="50"/>
      <c r="M278" s="50"/>
      <c r="N278" s="50">
        <f t="shared" si="5"/>
        <v>0</v>
      </c>
      <c r="O278" s="39"/>
      <c r="P278" s="39"/>
    </row>
    <row r="279" spans="1:19" x14ac:dyDescent="0.25">
      <c r="A279" s="29" t="s">
        <v>355</v>
      </c>
      <c r="B279" s="30" t="s">
        <v>356</v>
      </c>
      <c r="C279" s="30" t="s">
        <v>357</v>
      </c>
      <c r="D279" s="31" t="s">
        <v>643</v>
      </c>
      <c r="E279" s="31"/>
      <c r="F279" s="32">
        <v>45895</v>
      </c>
      <c r="G279" s="32">
        <v>45917</v>
      </c>
      <c r="H279" s="20">
        <v>221.36</v>
      </c>
      <c r="J279" s="8">
        <v>156.80000000000001</v>
      </c>
      <c r="K279" s="8">
        <v>64.56</v>
      </c>
      <c r="N279" s="8">
        <f t="shared" si="5"/>
        <v>221.36</v>
      </c>
    </row>
    <row r="280" spans="1:19" x14ac:dyDescent="0.25">
      <c r="A280" s="29" t="s">
        <v>355</v>
      </c>
      <c r="B280" s="30" t="s">
        <v>356</v>
      </c>
      <c r="C280" s="30" t="s">
        <v>358</v>
      </c>
      <c r="D280" s="31" t="s">
        <v>644</v>
      </c>
      <c r="E280" s="31"/>
      <c r="F280" s="32">
        <v>45905</v>
      </c>
      <c r="G280" s="32">
        <v>45924</v>
      </c>
      <c r="H280" s="20">
        <v>823.2</v>
      </c>
      <c r="J280" s="8">
        <v>823.2</v>
      </c>
      <c r="N280" s="8">
        <f t="shared" si="5"/>
        <v>823.2</v>
      </c>
    </row>
    <row r="281" spans="1:19" x14ac:dyDescent="0.25">
      <c r="A281" s="29" t="s">
        <v>355</v>
      </c>
      <c r="B281" s="30" t="s">
        <v>356</v>
      </c>
      <c r="C281" s="30" t="s">
        <v>359</v>
      </c>
      <c r="D281" s="31" t="s">
        <v>645</v>
      </c>
      <c r="E281" s="31"/>
      <c r="F281" s="32">
        <v>45905</v>
      </c>
      <c r="G281" s="32">
        <v>45924</v>
      </c>
      <c r="H281" s="20">
        <v>945.7</v>
      </c>
      <c r="J281" s="8">
        <v>945.7</v>
      </c>
      <c r="N281" s="8">
        <f t="shared" si="5"/>
        <v>945.7</v>
      </c>
    </row>
    <row r="282" spans="1:19" x14ac:dyDescent="0.25">
      <c r="A282" s="29" t="s">
        <v>355</v>
      </c>
      <c r="B282" s="30" t="s">
        <v>356</v>
      </c>
      <c r="C282" s="30" t="s">
        <v>360</v>
      </c>
      <c r="D282" s="31" t="s">
        <v>646</v>
      </c>
      <c r="E282" s="31"/>
      <c r="F282" s="32">
        <v>45905</v>
      </c>
      <c r="G282" s="32">
        <v>45924</v>
      </c>
      <c r="H282" s="20">
        <v>548.79999999999995</v>
      </c>
      <c r="J282" s="8">
        <v>548.79999999999995</v>
      </c>
      <c r="N282" s="8">
        <f t="shared" si="5"/>
        <v>548.79999999999995</v>
      </c>
    </row>
    <row r="283" spans="1:19" x14ac:dyDescent="0.25">
      <c r="A283" s="29" t="s">
        <v>355</v>
      </c>
      <c r="B283" s="30" t="s">
        <v>356</v>
      </c>
      <c r="C283" s="30" t="s">
        <v>361</v>
      </c>
      <c r="D283" s="31" t="s">
        <v>647</v>
      </c>
      <c r="E283" s="31"/>
      <c r="F283" s="32">
        <v>45905</v>
      </c>
      <c r="G283" s="32">
        <v>45924</v>
      </c>
      <c r="H283" s="20">
        <v>465.5</v>
      </c>
      <c r="J283" s="8">
        <v>465.5</v>
      </c>
      <c r="N283" s="8">
        <f t="shared" si="5"/>
        <v>465.5</v>
      </c>
    </row>
    <row r="284" spans="1:19" x14ac:dyDescent="0.25">
      <c r="A284" s="29" t="s">
        <v>355</v>
      </c>
      <c r="B284" s="30" t="s">
        <v>356</v>
      </c>
      <c r="C284" s="30" t="s">
        <v>362</v>
      </c>
      <c r="D284" s="31" t="s">
        <v>648</v>
      </c>
      <c r="E284" s="31"/>
      <c r="F284" s="32">
        <v>45905</v>
      </c>
      <c r="G284" s="32">
        <v>45924</v>
      </c>
      <c r="H284" s="20">
        <v>372.4</v>
      </c>
      <c r="J284" s="8">
        <v>372.4</v>
      </c>
      <c r="N284" s="8">
        <f t="shared" si="5"/>
        <v>372.4</v>
      </c>
    </row>
    <row r="285" spans="1:19" x14ac:dyDescent="0.25">
      <c r="A285" s="29" t="s">
        <v>355</v>
      </c>
      <c r="B285" s="30" t="s">
        <v>356</v>
      </c>
      <c r="C285" s="30" t="s">
        <v>363</v>
      </c>
      <c r="D285" s="31" t="s">
        <v>649</v>
      </c>
      <c r="E285" s="31"/>
      <c r="F285" s="32">
        <v>45905</v>
      </c>
      <c r="G285" s="32">
        <v>45924</v>
      </c>
      <c r="H285" s="20">
        <v>602.70000000000005</v>
      </c>
      <c r="J285" s="8">
        <v>602.70000000000005</v>
      </c>
      <c r="N285" s="8">
        <f t="shared" si="5"/>
        <v>602.70000000000005</v>
      </c>
    </row>
    <row r="286" spans="1:19" x14ac:dyDescent="0.25">
      <c r="A286" s="29" t="s">
        <v>355</v>
      </c>
      <c r="B286" s="30" t="s">
        <v>356</v>
      </c>
      <c r="C286" s="30" t="s">
        <v>364</v>
      </c>
      <c r="D286" s="31" t="s">
        <v>650</v>
      </c>
      <c r="E286" s="31"/>
      <c r="F286" s="32">
        <v>45905</v>
      </c>
      <c r="G286" s="32">
        <v>45924</v>
      </c>
      <c r="H286" s="20">
        <v>2126.6</v>
      </c>
      <c r="J286" s="8">
        <v>2126.6</v>
      </c>
      <c r="N286" s="8">
        <f t="shared" si="5"/>
        <v>2126.6</v>
      </c>
    </row>
    <row r="287" spans="1:19" x14ac:dyDescent="0.25">
      <c r="A287" s="60" t="s">
        <v>355</v>
      </c>
      <c r="B287" s="61" t="s">
        <v>356</v>
      </c>
      <c r="C287" s="61" t="s">
        <v>365</v>
      </c>
      <c r="D287" s="62" t="s">
        <v>651</v>
      </c>
      <c r="E287" s="62"/>
      <c r="F287" s="63">
        <v>45905</v>
      </c>
      <c r="G287" s="63">
        <v>45924</v>
      </c>
      <c r="H287" s="27">
        <v>1117.2</v>
      </c>
      <c r="I287" s="51">
        <f>SUM(H279:H287)</f>
        <v>7223.46</v>
      </c>
      <c r="J287" s="28">
        <v>1117.2</v>
      </c>
      <c r="K287" s="28"/>
      <c r="L287" s="28"/>
      <c r="M287" s="28"/>
      <c r="N287" s="28">
        <f t="shared" si="5"/>
        <v>1117.2</v>
      </c>
      <c r="O287" s="55">
        <v>45938</v>
      </c>
      <c r="P287" s="26">
        <v>346495</v>
      </c>
      <c r="R287" s="24">
        <v>1077276</v>
      </c>
      <c r="S287" s="24" t="s">
        <v>664</v>
      </c>
    </row>
    <row r="288" spans="1:19" x14ac:dyDescent="0.25">
      <c r="A288" s="7" t="s">
        <v>370</v>
      </c>
      <c r="B288" s="17" t="s">
        <v>371</v>
      </c>
      <c r="C288" s="17" t="s">
        <v>372</v>
      </c>
      <c r="D288" s="18"/>
      <c r="E288" s="18"/>
      <c r="F288" s="19">
        <v>44580</v>
      </c>
      <c r="G288" s="19">
        <v>44580</v>
      </c>
      <c r="H288" s="16">
        <v>-400</v>
      </c>
      <c r="I288" s="7"/>
      <c r="J288" s="9"/>
      <c r="K288" s="9"/>
      <c r="L288" s="9"/>
      <c r="M288" s="9"/>
      <c r="N288" s="9">
        <f t="shared" si="5"/>
        <v>0</v>
      </c>
      <c r="S288" s="24" t="s">
        <v>664</v>
      </c>
    </row>
    <row r="289" spans="1:19" x14ac:dyDescent="0.25">
      <c r="A289" s="34" t="s">
        <v>370</v>
      </c>
      <c r="B289" s="35" t="s">
        <v>371</v>
      </c>
      <c r="C289" s="35" t="s">
        <v>373</v>
      </c>
      <c r="D289" s="36"/>
      <c r="E289" s="36"/>
      <c r="F289" s="37">
        <v>44908</v>
      </c>
      <c r="G289" s="37">
        <v>44923</v>
      </c>
      <c r="H289" s="38">
        <v>86</v>
      </c>
      <c r="I289" s="38">
        <f>SUM(H288:H289)</f>
        <v>-314</v>
      </c>
      <c r="J289" s="49"/>
      <c r="K289" s="49"/>
      <c r="L289" s="49"/>
      <c r="M289" s="49"/>
      <c r="N289" s="49">
        <f t="shared" si="5"/>
        <v>0</v>
      </c>
      <c r="O289" s="26"/>
      <c r="P289" s="26"/>
    </row>
    <row r="290" spans="1:19" x14ac:dyDescent="0.25">
      <c r="A290" s="64" t="s">
        <v>374</v>
      </c>
      <c r="B290" s="65" t="s">
        <v>375</v>
      </c>
      <c r="C290" s="65" t="s">
        <v>376</v>
      </c>
      <c r="D290" s="66" t="s">
        <v>655</v>
      </c>
      <c r="E290" s="66"/>
      <c r="F290" s="67">
        <v>45902</v>
      </c>
      <c r="G290" s="67">
        <v>45917</v>
      </c>
      <c r="H290" s="68">
        <v>3150</v>
      </c>
      <c r="I290" s="53">
        <f>SUM(H290)</f>
        <v>3150</v>
      </c>
      <c r="J290" s="41">
        <v>3150</v>
      </c>
      <c r="K290" s="41"/>
      <c r="L290" s="41"/>
      <c r="M290" s="41"/>
      <c r="N290" s="41">
        <f t="shared" si="5"/>
        <v>3150</v>
      </c>
      <c r="O290" s="56">
        <v>45938</v>
      </c>
      <c r="P290" s="39">
        <v>346483</v>
      </c>
      <c r="R290" s="24">
        <v>1077277</v>
      </c>
      <c r="S290" s="24" t="s">
        <v>664</v>
      </c>
    </row>
    <row r="291" spans="1:19" x14ac:dyDescent="0.25">
      <c r="A291" s="44" t="s">
        <v>377</v>
      </c>
      <c r="B291" s="45" t="s">
        <v>378</v>
      </c>
      <c r="C291" s="45" t="s">
        <v>379</v>
      </c>
      <c r="D291" s="46"/>
      <c r="E291" s="46"/>
      <c r="F291" s="47">
        <v>45145</v>
      </c>
      <c r="G291" s="47">
        <v>45145</v>
      </c>
      <c r="H291" s="48">
        <v>-27.45</v>
      </c>
      <c r="I291" s="48">
        <f>SUM(H291)</f>
        <v>-27.45</v>
      </c>
      <c r="J291" s="50"/>
      <c r="K291" s="50"/>
      <c r="L291" s="50"/>
      <c r="M291" s="50"/>
      <c r="N291" s="50">
        <f t="shared" si="5"/>
        <v>0</v>
      </c>
      <c r="O291" s="39"/>
      <c r="P291" s="39"/>
    </row>
    <row r="293" spans="1:19" ht="14.25" thickBot="1" x14ac:dyDescent="0.3">
      <c r="H293" s="5">
        <f>SUM(H3:H292)</f>
        <v>646698.55999999982</v>
      </c>
      <c r="I293" s="5">
        <f>SUM(I3:I292)</f>
        <v>646698.55999999982</v>
      </c>
      <c r="J293" s="5">
        <f t="shared" ref="J293:M293" si="6">SUM(J3:J292)</f>
        <v>627577.7699999999</v>
      </c>
      <c r="K293" s="5">
        <f t="shared" si="6"/>
        <v>18723.88</v>
      </c>
      <c r="L293" s="5">
        <f t="shared" si="6"/>
        <v>4026.0299999999993</v>
      </c>
      <c r="M293" s="5">
        <f t="shared" si="6"/>
        <v>-332</v>
      </c>
      <c r="N293" s="5">
        <f>SUM(N3:N292)</f>
        <v>649995.68000000005</v>
      </c>
    </row>
    <row r="294" spans="1:19" ht="14.25" thickTop="1" x14ac:dyDescent="0.25">
      <c r="H294" s="16">
        <f>I291+I289+I257+I216+I215+I189+I188+I165+I98+I97+I3</f>
        <v>-5196.34</v>
      </c>
    </row>
    <row r="295" spans="1:19" x14ac:dyDescent="0.25">
      <c r="H295" s="4">
        <f>SUM(H293:H294)</f>
        <v>641502.21999999986</v>
      </c>
      <c r="I295" s="52">
        <f>I290+I287+I277+I274+I256+I254+I252+I245+I226+I213+I212+I199+I193+I186+I176+I164+I139+I134+I130+I126+I122+I117+I109+I108+I103+I92+I55+I26+I16+I13+I56</f>
        <v>649995.67999999993</v>
      </c>
      <c r="N295" s="8">
        <v>612049.19999999995</v>
      </c>
      <c r="O295" s="1" t="s">
        <v>659</v>
      </c>
    </row>
    <row r="296" spans="1:19" x14ac:dyDescent="0.25">
      <c r="N296" s="8">
        <f>N293-N295</f>
        <v>37946.480000000098</v>
      </c>
      <c r="O296" s="1" t="s">
        <v>660</v>
      </c>
    </row>
    <row r="297" spans="1:19" x14ac:dyDescent="0.25">
      <c r="A297" s="75" t="s">
        <v>600</v>
      </c>
    </row>
    <row r="298" spans="1:19" x14ac:dyDescent="0.25">
      <c r="A298" s="1" t="s">
        <v>601</v>
      </c>
    </row>
    <row r="299" spans="1:19" x14ac:dyDescent="0.25">
      <c r="A299" s="1" t="s">
        <v>602</v>
      </c>
    </row>
    <row r="300" spans="1:19" x14ac:dyDescent="0.25">
      <c r="A300" s="1" t="s">
        <v>603</v>
      </c>
    </row>
    <row r="301" spans="1:19" x14ac:dyDescent="0.25">
      <c r="A301" s="1" t="s">
        <v>666</v>
      </c>
    </row>
    <row r="302" spans="1:19" x14ac:dyDescent="0.25">
      <c r="A302" s="1" t="s">
        <v>657</v>
      </c>
    </row>
  </sheetData>
  <pageMargins left="0.2" right="0.2" top="0.5" bottom="0.5" header="0.05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Fay Harder</cp:lastModifiedBy>
  <cp:lastPrinted>2025-10-08T18:29:19Z</cp:lastPrinted>
  <dcterms:created xsi:type="dcterms:W3CDTF">2025-09-24T19:02:11Z</dcterms:created>
  <dcterms:modified xsi:type="dcterms:W3CDTF">2025-12-04T00:27:07Z</dcterms:modified>
</cp:coreProperties>
</file>